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22년 계약\44. 활주로 지역 배수로 개선 분석평가 및 선행연구 용역\최종 공고본\"/>
    </mc:Choice>
  </mc:AlternateContent>
  <xr:revisionPtr revIDLastSave="0" documentId="13_ncr:1_{E559DDF5-3657-493D-905A-26634167662D}" xr6:coauthVersionLast="36" xr6:coauthVersionMax="36" xr10:uidLastSave="{00000000-0000-0000-0000-000000000000}"/>
  <bookViews>
    <workbookView xWindow="0" yWindow="0" windowWidth="25365" windowHeight="17235" xr2:uid="{00000000-000D-0000-FFFF-FFFF00000000}"/>
  </bookViews>
  <sheets>
    <sheet name="설계예산서" sheetId="1" r:id="rId1"/>
    <sheet name="총괄" sheetId="2" r:id="rId2"/>
    <sheet name="측량비" sheetId="3" r:id="rId3"/>
    <sheet name="공종별집계표 (3)" sheetId="4" state="hidden" r:id="rId4"/>
    <sheet name="공종별집계표 (4)" sheetId="5" state="hidden" r:id="rId5"/>
    <sheet name="공종별집계표 (5)" sheetId="6" state="hidden" r:id="rId6"/>
    <sheet name="공종별집계표 (6)" sheetId="7" state="hidden" r:id="rId7"/>
    <sheet name="공종별집계표 (7)" sheetId="8" state="hidden" r:id="rId8"/>
    <sheet name="공종별집계표 (8)" sheetId="9" state="hidden" r:id="rId9"/>
    <sheet name="손해배상보험" sheetId="10" r:id="rId10"/>
    <sheet name="선행연구" sheetId="11" r:id="rId11"/>
    <sheet name="세부 산출내역" sheetId="12" r:id="rId12"/>
  </sheets>
  <definedNames>
    <definedName name="_xlnm._FilterDatabase" hidden="1">#REF!</definedName>
    <definedName name="_xlnm.Print_Area" localSheetId="10">선행연구!$A$1:$X$24</definedName>
    <definedName name="_xlnm.Print_Area" localSheetId="9">손해배상보험!$B$1:$G$30</definedName>
    <definedName name="등급">선행연구!$Z$7:$Z$10</definedName>
  </definedNames>
  <calcPr calcId="179021"/>
</workbook>
</file>

<file path=xl/calcChain.xml><?xml version="1.0" encoding="utf-8"?>
<calcChain xmlns="http://schemas.openxmlformats.org/spreadsheetml/2006/main">
  <c r="G11" i="2" l="1"/>
  <c r="E12" i="10"/>
  <c r="B24" i="11" l="1"/>
  <c r="B22" i="11"/>
  <c r="G19" i="3"/>
  <c r="AB24" i="11" l="1"/>
  <c r="B19" i="11"/>
  <c r="B18" i="11"/>
  <c r="B16" i="11"/>
  <c r="R15" i="11"/>
  <c r="K13" i="11" s="1"/>
  <c r="R14" i="11"/>
  <c r="B13" i="11" s="1"/>
  <c r="D10" i="11"/>
  <c r="B10" i="11" s="1"/>
  <c r="D9" i="11"/>
  <c r="B9" i="11"/>
  <c r="D8" i="11"/>
  <c r="B8" i="11" s="1"/>
  <c r="D7" i="11"/>
  <c r="B7" i="11"/>
  <c r="C26" i="10"/>
  <c r="E24" i="10"/>
  <c r="G16" i="10"/>
  <c r="F16" i="10"/>
  <c r="E16" i="10"/>
  <c r="G15" i="10"/>
  <c r="F15" i="10"/>
  <c r="E15" i="10"/>
  <c r="G14" i="10"/>
  <c r="F14" i="10"/>
  <c r="E14" i="10"/>
  <c r="G13" i="10"/>
  <c r="F13" i="10"/>
  <c r="E13" i="10" s="1"/>
  <c r="G12" i="10"/>
  <c r="F12" i="10"/>
  <c r="J37" i="9"/>
  <c r="I5" i="9"/>
  <c r="H5" i="9"/>
  <c r="J5" i="9" s="1"/>
  <c r="G5" i="9"/>
  <c r="I4" i="9"/>
  <c r="I30" i="9" s="1"/>
  <c r="H4" i="9"/>
  <c r="J4" i="9" s="1"/>
  <c r="G4" i="9"/>
  <c r="G30" i="9" s="1"/>
  <c r="B2" i="9"/>
  <c r="J37" i="8"/>
  <c r="I6" i="8"/>
  <c r="J6" i="8" s="1"/>
  <c r="H6" i="8"/>
  <c r="G6" i="8"/>
  <c r="I5" i="8"/>
  <c r="J5" i="8" s="1"/>
  <c r="H5" i="8"/>
  <c r="G5" i="8"/>
  <c r="I4" i="8"/>
  <c r="I30" i="8" s="1"/>
  <c r="H4" i="8"/>
  <c r="H30" i="8" s="1"/>
  <c r="G4" i="8"/>
  <c r="G30" i="8" s="1"/>
  <c r="B2" i="8"/>
  <c r="J37" i="7"/>
  <c r="I6" i="7"/>
  <c r="H6" i="7"/>
  <c r="J6" i="7" s="1"/>
  <c r="G6" i="7"/>
  <c r="I5" i="7"/>
  <c r="H5" i="7"/>
  <c r="J5" i="7" s="1"/>
  <c r="G5" i="7"/>
  <c r="I4" i="7"/>
  <c r="I30" i="7" s="1"/>
  <c r="H4" i="7"/>
  <c r="J4" i="7" s="1"/>
  <c r="G4" i="7"/>
  <c r="G30" i="7" s="1"/>
  <c r="B2" i="7"/>
  <c r="I6" i="6"/>
  <c r="H6" i="6"/>
  <c r="J6" i="6" s="1"/>
  <c r="G6" i="6"/>
  <c r="I5" i="6"/>
  <c r="H5" i="6"/>
  <c r="J5" i="6" s="1"/>
  <c r="G5" i="6"/>
  <c r="I4" i="6"/>
  <c r="I30" i="6" s="1"/>
  <c r="H4" i="6"/>
  <c r="H30" i="6" s="1"/>
  <c r="G4" i="6"/>
  <c r="G30" i="6" s="1"/>
  <c r="B2" i="6"/>
  <c r="J37" i="5"/>
  <c r="J6" i="5"/>
  <c r="I6" i="5"/>
  <c r="H6" i="5"/>
  <c r="G6" i="5"/>
  <c r="J5" i="5"/>
  <c r="I5" i="5"/>
  <c r="H5" i="5"/>
  <c r="G5" i="5"/>
  <c r="J4" i="5"/>
  <c r="J30" i="5" s="1"/>
  <c r="I4" i="5"/>
  <c r="I30" i="5" s="1"/>
  <c r="H4" i="5"/>
  <c r="H30" i="5" s="1"/>
  <c r="G4" i="5"/>
  <c r="G30" i="5" s="1"/>
  <c r="B2" i="5"/>
  <c r="I6" i="4"/>
  <c r="H6" i="4"/>
  <c r="J6" i="4" s="1"/>
  <c r="G6" i="4"/>
  <c r="I5" i="4"/>
  <c r="H5" i="4"/>
  <c r="J5" i="4" s="1"/>
  <c r="G5" i="4"/>
  <c r="I4" i="4"/>
  <c r="I30" i="4" s="1"/>
  <c r="H4" i="4"/>
  <c r="J4" i="4" s="1"/>
  <c r="G4" i="4"/>
  <c r="G30" i="4" s="1"/>
  <c r="B2" i="4"/>
  <c r="C46" i="3"/>
  <c r="C45" i="3"/>
  <c r="C44" i="3"/>
  <c r="C43" i="3"/>
  <c r="C42" i="3"/>
  <c r="D36" i="3"/>
  <c r="I35" i="3"/>
  <c r="D35" i="3"/>
  <c r="O34" i="3"/>
  <c r="O35" i="3" s="1"/>
  <c r="I34" i="3"/>
  <c r="I36" i="3" s="1"/>
  <c r="D34" i="3"/>
  <c r="C32" i="3"/>
  <c r="Q32" i="3" s="1"/>
  <c r="D23" i="3"/>
  <c r="D22" i="3"/>
  <c r="I21" i="3"/>
  <c r="D21" i="3"/>
  <c r="O20" i="3"/>
  <c r="I20" i="3"/>
  <c r="D20" i="3"/>
  <c r="O19" i="3"/>
  <c r="O21" i="3" s="1"/>
  <c r="I19" i="3"/>
  <c r="I22" i="3" s="1"/>
  <c r="D19" i="3"/>
  <c r="Q17" i="3"/>
  <c r="C15" i="3"/>
  <c r="Q15" i="3" s="1"/>
  <c r="Q13" i="3"/>
  <c r="K19" i="3" s="1"/>
  <c r="Q11" i="3"/>
  <c r="C29" i="3" s="1"/>
  <c r="Q29" i="3" s="1"/>
  <c r="B2" i="1"/>
  <c r="A19" i="1" s="1"/>
  <c r="B20" i="11" l="1"/>
  <c r="J30" i="4"/>
  <c r="J30" i="9"/>
  <c r="K23" i="3"/>
  <c r="K22" i="3"/>
  <c r="K20" i="3"/>
  <c r="K21" i="3"/>
  <c r="B11" i="11"/>
  <c r="M34" i="3"/>
  <c r="C31" i="3"/>
  <c r="Q31" i="3" s="1"/>
  <c r="M19" i="3"/>
  <c r="J30" i="7"/>
  <c r="O23" i="3"/>
  <c r="C30" i="3"/>
  <c r="Q30" i="3" s="1"/>
  <c r="H30" i="4"/>
  <c r="H30" i="7"/>
  <c r="J4" i="8"/>
  <c r="J30" i="8" s="1"/>
  <c r="O22" i="3"/>
  <c r="I23" i="3"/>
  <c r="K34" i="3"/>
  <c r="O36" i="3"/>
  <c r="J4" i="6"/>
  <c r="J30" i="6" s="1"/>
  <c r="H30" i="9"/>
  <c r="M20" i="3" l="1"/>
  <c r="M23" i="3"/>
  <c r="M21" i="3"/>
  <c r="M22" i="3"/>
  <c r="B21" i="11"/>
  <c r="K36" i="3"/>
  <c r="K35" i="3"/>
  <c r="G35" i="3"/>
  <c r="G21" i="3"/>
  <c r="Q21" i="3" s="1"/>
  <c r="G23" i="3"/>
  <c r="Q23" i="3" s="1"/>
  <c r="Q41" i="3" s="1"/>
  <c r="Q46" i="3" s="1"/>
  <c r="G34" i="3"/>
  <c r="Q34" i="3" s="1"/>
  <c r="G20" i="3"/>
  <c r="Q20" i="3" s="1"/>
  <c r="G36" i="3"/>
  <c r="G22" i="3"/>
  <c r="Q22" i="3" s="1"/>
  <c r="Q40" i="3" s="1"/>
  <c r="Q45" i="3" s="1"/>
  <c r="M36" i="3"/>
  <c r="M35" i="3"/>
  <c r="Q19" i="3"/>
  <c r="Q37" i="3" s="1"/>
  <c r="Q42" i="3" s="1"/>
  <c r="Q35" i="3" l="1"/>
  <c r="Q38" i="3" s="1"/>
  <c r="Q43" i="3" s="1"/>
  <c r="Q47" i="3" s="1"/>
  <c r="B23" i="11"/>
  <c r="G12" i="2"/>
  <c r="G13" i="2" s="1"/>
  <c r="Q36" i="3"/>
  <c r="Q39" i="3"/>
  <c r="Q44" i="3" s="1"/>
  <c r="Q49" i="3" l="1"/>
  <c r="Q51" i="3"/>
  <c r="Q52" i="3" s="1"/>
  <c r="G14" i="2"/>
  <c r="G15" i="2" s="1"/>
  <c r="E4" i="10" l="1"/>
  <c r="E9" i="10" s="1"/>
  <c r="G6" i="2"/>
  <c r="G8" i="2" s="1"/>
  <c r="D12" i="10" l="1"/>
  <c r="E17" i="10" s="1"/>
  <c r="E21" i="10" s="1"/>
  <c r="G9" i="2" s="1"/>
  <c r="E19" i="10"/>
  <c r="G10" i="2" l="1"/>
  <c r="G16" i="2" s="1"/>
  <c r="D9" i="1" s="1"/>
  <c r="D10" i="1" l="1"/>
  <c r="I9" i="1"/>
  <c r="I10" i="1" s="1"/>
</calcChain>
</file>

<file path=xl/sharedStrings.xml><?xml version="1.0" encoding="utf-8"?>
<sst xmlns="http://schemas.openxmlformats.org/spreadsheetml/2006/main" count="631" uniqueCount="268">
  <si>
    <t xml:space="preserve"> • 회의 준비비(다과, 비품 등) :</t>
  </si>
  <si>
    <t xml:space="preserve"> • (인건비+경비+일반관리비)×8.95%</t>
  </si>
  <si>
    <t xml:space="preserve">  .기술료[(직접노무비+제경비)*20%]</t>
  </si>
  <si>
    <t>실비
(서울7만,광역시6만,기타5만)</t>
  </si>
  <si>
    <t>2. 지형유형에 따른 증감계수 (K)</t>
  </si>
  <si>
    <t>도       급        액 :</t>
  </si>
  <si>
    <t>비고 : 건설공사 표준품셈 토목부분 제9장 측량 (9-3 지형현황)을 적용하여 산정함.</t>
  </si>
  <si>
    <t xml:space="preserve">1. 계획된 측량면적보다 적은 면적을 측량하였을 경우 정산한다. 단, 초과면적분에 대해서는 계약금액으로 갈음한다. </t>
  </si>
  <si>
    <t>2. 기타 측량을 위한 추가과업은 계약금액에 포함된 것으로 한다.</t>
  </si>
  <si>
    <t>□ 기재부 (별표2)"학술연구용역 인건비 기준단가 &lt;'22년기준&gt;</t>
  </si>
  <si>
    <t>* 회의 준비비(1회)
  - 1인당 2,000원 X 20명 = 40,000원
  - 40,000원/회당 × 5회 = 200,000원</t>
  </si>
  <si>
    <t>연료비 지급기준 : 여행거리(Km) * 유가 / 연비 &lt;기준 유가 : 연비(Km/L) 휘발유(11.57), 경유(12.12), LPG(8.52&gt;</t>
  </si>
  <si>
    <t>본 인건비 기준단가는 1개월을 22일로
하여 용역 참여율 50%로 산정한 것이며,
용역 참여율을 달리하는 경우에는 기준
단가를 증감시킬 수 있다.</t>
  </si>
  <si>
    <t>4. 지적경계측량이 필요할 경우 감독관과 상의하여 시행하며, 그 비용은 수급인 부담으로 한다.</t>
  </si>
  <si>
    <t xml:space="preserve"> (1/250 : 1.6,  1/500 : 1.0,  1 /1000 : 0.65)</t>
  </si>
  <si>
    <t>비고 : 엔지니어링산업진흥법 시행령 제42조(엔지니어링사업자의 손해배상보험, 공제가입)에 의거 산출함.</t>
  </si>
  <si>
    <t xml:space="preserve">□ 국내여비 - 공무원 여비 규정([별표1] 여비 지급 구분표, [별표 2] 국내 여비 지급표('20년 기준)) </t>
  </si>
  <si>
    <t>3. 사업부지 여건을 고려하여 평판측량 외 다른측량으로 시행할 수도 있으며, 그 비용은 수급인 부담으로 한다.</t>
  </si>
  <si>
    <t>착수/30%/60%/90%/최종 검토 및 보완 회의 등</t>
  </si>
  <si>
    <t>기재부 계약예규 적용
예가산정기준28조 일반관리비 등</t>
  </si>
  <si>
    <t>구분</t>
  </si>
  <si>
    <t>연구원</t>
  </si>
  <si>
    <t>소계</t>
  </si>
  <si>
    <t>=</t>
  </si>
  <si>
    <t xml:space="preserve"> </t>
  </si>
  <si>
    <t>%</t>
  </si>
  <si>
    <t>단위</t>
  </si>
  <si>
    <t>공종</t>
  </si>
  <si>
    <t>1.</t>
  </si>
  <si>
    <t>B</t>
  </si>
  <si>
    <t>L</t>
  </si>
  <si>
    <t>단가</t>
  </si>
  <si>
    <t>×</t>
  </si>
  <si>
    <t>총계</t>
  </si>
  <si>
    <t>명</t>
  </si>
  <si>
    <t>측량비</t>
  </si>
  <si>
    <t>원</t>
  </si>
  <si>
    <t>:</t>
  </si>
  <si>
    <t xml:space="preserve">  계</t>
  </si>
  <si>
    <t>품명</t>
  </si>
  <si>
    <t>노무비</t>
  </si>
  <si>
    <t>인</t>
  </si>
  <si>
    <t>m2</t>
  </si>
  <si>
    <t>-</t>
  </si>
  <si>
    <t>계</t>
  </si>
  <si>
    <t>50</t>
  </si>
  <si>
    <t>+1년</t>
  </si>
  <si>
    <t/>
  </si>
  <si>
    <t>금액</t>
  </si>
  <si>
    <t>2.0</t>
  </si>
  <si>
    <t>도로</t>
  </si>
  <si>
    <t>비 고</t>
  </si>
  <si>
    <t>2년</t>
  </si>
  <si>
    <t>1.0</t>
  </si>
  <si>
    <t>실비</t>
  </si>
  <si>
    <t>수 량</t>
  </si>
  <si>
    <t>등 급</t>
  </si>
  <si>
    <t>식</t>
  </si>
  <si>
    <t>회</t>
  </si>
  <si>
    <t>철도</t>
  </si>
  <si>
    <t>○</t>
  </si>
  <si>
    <t>보조원</t>
  </si>
  <si>
    <t>공항</t>
  </si>
  <si>
    <t>터널</t>
  </si>
  <si>
    <t>감</t>
  </si>
  <si>
    <t>간척</t>
  </si>
  <si>
    <t>3.0</t>
  </si>
  <si>
    <t>지하철</t>
  </si>
  <si>
    <t>참여율</t>
  </si>
  <si>
    <t>하수도</t>
  </si>
  <si>
    <t>비고</t>
  </si>
  <si>
    <t>재료비</t>
  </si>
  <si>
    <t>송전</t>
  </si>
  <si>
    <t>댐</t>
  </si>
  <si>
    <t>변전</t>
  </si>
  <si>
    <t>산업별</t>
  </si>
  <si>
    <t>분류</t>
  </si>
  <si>
    <t>3년</t>
  </si>
  <si>
    <t>개월</t>
  </si>
  <si>
    <t>교량</t>
  </si>
  <si>
    <t>연료비</t>
  </si>
  <si>
    <t>예정공사기간</t>
  </si>
  <si>
    <t>산출근거</t>
  </si>
  <si>
    <t>1단계+2단계</t>
  </si>
  <si>
    <t>에너지저장</t>
  </si>
  <si>
    <t>초과일수</t>
  </si>
  <si>
    <t>표준공사기간</t>
  </si>
  <si>
    <t xml:space="preserve">   .S=</t>
  </si>
  <si>
    <t>항만ㆍ하천</t>
  </si>
  <si>
    <t>쓰레기소각로</t>
  </si>
  <si>
    <t>손해배상보험</t>
  </si>
  <si>
    <t>가산요율</t>
  </si>
  <si>
    <t>기본요율</t>
  </si>
  <si>
    <t>수  량</t>
  </si>
  <si>
    <t>용역금액</t>
  </si>
  <si>
    <t>라. 인건비</t>
  </si>
  <si>
    <t>5억원이하</t>
  </si>
  <si>
    <t>전시시설</t>
  </si>
  <si>
    <t>단  가</t>
  </si>
  <si>
    <t>하수종말처리장</t>
  </si>
  <si>
    <t>관람집회시설</t>
  </si>
  <si>
    <t>(합계)</t>
  </si>
  <si>
    <t>폐수처리장</t>
  </si>
  <si>
    <t>나. 제도</t>
  </si>
  <si>
    <t>보고서 준비</t>
  </si>
  <si>
    <t>일비(1일당)</t>
  </si>
  <si>
    <t xml:space="preserve">   .구릉지</t>
  </si>
  <si>
    <t xml:space="preserve">   .P=</t>
  </si>
  <si>
    <t>중급기술자</t>
  </si>
  <si>
    <t>금  액</t>
  </si>
  <si>
    <t>발전소건설</t>
  </si>
  <si>
    <t xml:space="preserve">   .T=</t>
  </si>
  <si>
    <t>실비(일반실)</t>
  </si>
  <si>
    <t>연구보조원</t>
  </si>
  <si>
    <t>공사중시설</t>
  </si>
  <si>
    <t>균열보수</t>
  </si>
  <si>
    <t>○ 노임단가</t>
  </si>
  <si>
    <t>부가가치세</t>
  </si>
  <si>
    <t>천원미만 절사</t>
  </si>
  <si>
    <t>1.인원수</t>
  </si>
  <si>
    <t>바. 기술료</t>
  </si>
  <si>
    <t>지형현황측량비</t>
  </si>
  <si>
    <t>마. 제경비</t>
  </si>
  <si>
    <t xml:space="preserve">비고 : </t>
  </si>
  <si>
    <t>초급기술자</t>
  </si>
  <si>
    <t>공용청사</t>
  </si>
  <si>
    <t>합    계</t>
  </si>
  <si>
    <t xml:space="preserve">  경비 계</t>
  </si>
  <si>
    <t>공동주택</t>
  </si>
  <si>
    <t>비  고</t>
  </si>
  <si>
    <t>선박운임</t>
  </si>
  <si>
    <t>고급기술자</t>
  </si>
  <si>
    <t>책임연구원</t>
  </si>
  <si>
    <t>3.총인원수</t>
  </si>
  <si>
    <t>선행연구비</t>
  </si>
  <si>
    <t>식비(1일당)</t>
  </si>
  <si>
    <t>품    명</t>
  </si>
  <si>
    <t>2. 증감계수</t>
  </si>
  <si>
    <t>실비(1등급)</t>
  </si>
  <si>
    <t xml:space="preserve">   .K =</t>
  </si>
  <si>
    <t>구  분</t>
  </si>
  <si>
    <t>실비(2등급)</t>
  </si>
  <si>
    <t>실비(특실)</t>
  </si>
  <si>
    <t>단면보수</t>
  </si>
  <si>
    <t>용역내용</t>
  </si>
  <si>
    <t>경    비</t>
  </si>
  <si>
    <t>규   격</t>
  </si>
  <si>
    <t>철도운임</t>
  </si>
  <si>
    <t>줄눈교체</t>
  </si>
  <si>
    <t>수량/단가</t>
  </si>
  <si>
    <t>보통인부</t>
  </si>
  <si>
    <t>항공운임</t>
  </si>
  <si>
    <t>4. 이윤</t>
  </si>
  <si>
    <t>6. 총 원가</t>
  </si>
  <si>
    <t>산출내역</t>
  </si>
  <si>
    <t>폐기물상차</t>
  </si>
  <si>
    <t>비    고</t>
  </si>
  <si>
    <t xml:space="preserve">  인건비 계</t>
  </si>
  <si>
    <t>분석(타당성 조사, 평가, 시험) 손해배상보험요율표 (엔지니어링공제조합)</t>
  </si>
  <si>
    <t>※ 작성근거 : 기획재정부 계약예규 2장 (원가계산에 의한 예정가격 작성기준)</t>
  </si>
  <si>
    <t>: 활주로 지역 배수관로 노선측량 약 = 68.5km 및 배수로 개선 선행연구</t>
  </si>
  <si>
    <t>1.구릉지 10만m2, 축척 1/500, 신규측량 기준 인원수</t>
  </si>
  <si>
    <t>총 용 역 금 액 :</t>
  </si>
  <si>
    <t xml:space="preserve">   .신규측량</t>
  </si>
  <si>
    <t xml:space="preserve">  .초급기술자 :</t>
  </si>
  <si>
    <t xml:space="preserve">  .중급기술자 :</t>
  </si>
  <si>
    <t xml:space="preserve">  .고급기술자 </t>
  </si>
  <si>
    <t xml:space="preserve">  .초급기능사 :</t>
  </si>
  <si>
    <t xml:space="preserve">   .초급기능사 :</t>
  </si>
  <si>
    <t xml:space="preserve">위     치 </t>
  </si>
  <si>
    <t>다. 인원
   소계</t>
  </si>
  <si>
    <t>2호(연구원 등)</t>
  </si>
  <si>
    <t>합      계</t>
  </si>
  <si>
    <t xml:space="preserve">   .보통 인부</t>
  </si>
  <si>
    <t xml:space="preserve">  .초급기능사</t>
  </si>
  <si>
    <t>5. 부가가치세</t>
  </si>
  <si>
    <t>초급기능사(측량)</t>
  </si>
  <si>
    <t xml:space="preserve">   .중급기술자</t>
  </si>
  <si>
    <t xml:space="preserve">   .초급기능사</t>
  </si>
  <si>
    <t>2 0 2 2 년도</t>
  </si>
  <si>
    <t xml:space="preserve">   .초급기술자 :</t>
  </si>
  <si>
    <t xml:space="preserve">   .중급기술자 :</t>
  </si>
  <si>
    <t xml:space="preserve">  .중급기술자</t>
  </si>
  <si>
    <t xml:space="preserve">   .중급기술자 </t>
  </si>
  <si>
    <t>규       격</t>
  </si>
  <si>
    <t xml:space="preserve">  .초급기술자</t>
  </si>
  <si>
    <t xml:space="preserve">  3) 전산처리비</t>
  </si>
  <si>
    <t xml:space="preserve">  1) 국내여비</t>
  </si>
  <si>
    <t>월임금(월/원)</t>
  </si>
  <si>
    <t xml:space="preserve">  2) 유인물비</t>
  </si>
  <si>
    <t xml:space="preserve">  4) 회의비</t>
  </si>
  <si>
    <r>
      <rPr>
        <b/>
        <sz val="20"/>
        <color rgb="FF000000"/>
        <rFont val="돋움"/>
        <family val="3"/>
        <charset val="129"/>
      </rPr>
      <t>공</t>
    </r>
    <r>
      <rPr>
        <b/>
        <sz val="20"/>
        <color rgb="FF000000"/>
        <rFont val="Arial"/>
        <family val="2"/>
      </rPr>
      <t xml:space="preserve"> </t>
    </r>
    <r>
      <rPr>
        <b/>
        <sz val="20"/>
        <color rgb="FF000000"/>
        <rFont val="돋움"/>
        <family val="3"/>
        <charset val="129"/>
      </rPr>
      <t>종</t>
    </r>
    <r>
      <rPr>
        <b/>
        <sz val="20"/>
        <color rgb="FF000000"/>
        <rFont val="Arial"/>
        <family val="2"/>
      </rPr>
      <t xml:space="preserve"> </t>
    </r>
    <r>
      <rPr>
        <b/>
        <sz val="20"/>
        <color rgb="FF000000"/>
        <rFont val="돋움"/>
        <family val="3"/>
        <charset val="129"/>
      </rPr>
      <t>별</t>
    </r>
    <r>
      <rPr>
        <b/>
        <sz val="20"/>
        <color rgb="FF000000"/>
        <rFont val="Arial"/>
        <family val="2"/>
      </rPr>
      <t xml:space="preserve"> </t>
    </r>
    <r>
      <rPr>
        <b/>
        <sz val="20"/>
        <color rgb="FF000000"/>
        <rFont val="돋움"/>
        <family val="3"/>
        <charset val="129"/>
      </rPr>
      <t>집</t>
    </r>
    <r>
      <rPr>
        <b/>
        <sz val="20"/>
        <color rgb="FF000000"/>
        <rFont val="Arial"/>
        <family val="2"/>
      </rPr>
      <t xml:space="preserve"> </t>
    </r>
    <r>
      <rPr>
        <b/>
        <sz val="20"/>
        <color rgb="FF000000"/>
        <rFont val="돋움"/>
        <family val="3"/>
        <charset val="129"/>
      </rPr>
      <t>계</t>
    </r>
    <r>
      <rPr>
        <b/>
        <sz val="20"/>
        <color rgb="FF000000"/>
        <rFont val="Arial"/>
        <family val="2"/>
      </rPr>
      <t xml:space="preserve"> </t>
    </r>
    <r>
      <rPr>
        <b/>
        <sz val="20"/>
        <color rgb="FF000000"/>
        <rFont val="돋움"/>
        <family val="3"/>
        <charset val="129"/>
      </rPr>
      <t>표</t>
    </r>
  </si>
  <si>
    <t>1호(책임연구원)</t>
  </si>
  <si>
    <t xml:space="preserve">   .고급기술자</t>
  </si>
  <si>
    <t>3. 일반관리비</t>
  </si>
  <si>
    <t xml:space="preserve">지형현황측량비 </t>
  </si>
  <si>
    <t xml:space="preserve">   .1/500</t>
  </si>
  <si>
    <t>숙박비(1야당)</t>
  </si>
  <si>
    <t xml:space="preserve">  .고급기술자 :</t>
  </si>
  <si>
    <t xml:space="preserve">   .고급기술자 :</t>
  </si>
  <si>
    <t>명         칭</t>
  </si>
  <si>
    <t xml:space="preserve">  .보 통 인 부</t>
  </si>
  <si>
    <t>자동차 운임
(버스)</t>
  </si>
  <si>
    <t xml:space="preserve"> • 전산소모품 :</t>
  </si>
  <si>
    <t>가. 평판
   측량</t>
  </si>
  <si>
    <t>• 1인 1일 기준액</t>
  </si>
  <si>
    <t>(2단계 공제료)</t>
  </si>
  <si>
    <t xml:space="preserve">   .초급기술자</t>
  </si>
  <si>
    <t>(1단계 공제료)</t>
  </si>
  <si>
    <t>용역금액*0.16%</t>
  </si>
  <si>
    <t>+ 1단계 이후 1년</t>
  </si>
  <si>
    <t>상수도(정수장포함)</t>
  </si>
  <si>
    <t>(단위:   %)</t>
  </si>
  <si>
    <t>합          계</t>
  </si>
  <si>
    <t>재     료     비</t>
  </si>
  <si>
    <t xml:space="preserve">  .보 통 인 부 :</t>
  </si>
  <si>
    <t>착수, 중간, 최종보고 자료</t>
  </si>
  <si>
    <t xml:space="preserve">합          계  </t>
  </si>
  <si>
    <t>( 소계 * 10% )</t>
  </si>
  <si>
    <t>공군 제 20 전투비행단</t>
  </si>
  <si>
    <t xml:space="preserve">   .중급기술자 : </t>
  </si>
  <si>
    <t>(A4용지 5BOX 포함)</t>
  </si>
  <si>
    <t xml:space="preserve">   .보 통 인 부 :</t>
  </si>
  <si>
    <t>가입기간 산정(용역기간)</t>
  </si>
  <si>
    <t xml:space="preserve">   .0.8+2/측량면적</t>
  </si>
  <si>
    <t>표준담보   기간(년)</t>
  </si>
  <si>
    <t>변동 : 인원, 개월수</t>
  </si>
  <si>
    <t>공제가입금액(보상한도액)</t>
  </si>
  <si>
    <t>5억원초과 10억원이하</t>
  </si>
  <si>
    <t>20억원초과 30억원이하</t>
  </si>
  <si>
    <t>30억원초과 50억원이하</t>
  </si>
  <si>
    <t>10억원초과 20억원이하</t>
  </si>
  <si>
    <t>4.작업량에 따른 증감계수 (P)</t>
  </si>
  <si>
    <t>3.축척에 따른 증감계수 (S)</t>
  </si>
  <si>
    <t xml:space="preserve">  .제경비 (직접노무비*110%)</t>
  </si>
  <si>
    <t>: 서산 공군 제20전투비행단</t>
  </si>
  <si>
    <t>제2호
(소령 이하/4급 이하)</t>
  </si>
  <si>
    <t>제1호
(대장~중령/3급 이상)</t>
  </si>
  <si>
    <t xml:space="preserve"> • (인건비+경비)×6.0%</t>
  </si>
  <si>
    <t>[2022년도 측량기술자 임금공표]</t>
  </si>
  <si>
    <t>경                비</t>
  </si>
  <si>
    <t>노       무        비</t>
  </si>
  <si>
    <t>5.작업종류에 따른 계수 (T)</t>
  </si>
  <si>
    <t>6.총인원수 = 인원수*표준작업량*K*S*P*T</t>
  </si>
  <si>
    <t>현장 실사, 조사여비
* 공무원 여비규정 적용</t>
  </si>
  <si>
    <t xml:space="preserve"> • (인건비+경비+일반관리비+이윤)×10%</t>
  </si>
  <si>
    <t xml:space="preserve"> • 보고서( 책자 30부 + CD 2매) :</t>
  </si>
  <si>
    <t>(신규측량 : 1.0 / 수정측량 : 1.25)</t>
  </si>
  <si>
    <t xml:space="preserve"> (평지1.0 / 구릉지1.25 / 산지1.30)</t>
  </si>
  <si>
    <r>
      <t>[F.</t>
    </r>
    <r>
      <rPr>
        <sz val="10"/>
        <color rgb="FF000000"/>
        <rFont val="돋움"/>
        <family val="3"/>
        <charset val="129"/>
      </rPr>
      <t>자재대</t>
    </r>
    <r>
      <rPr>
        <sz val="10"/>
        <color rgb="FF000000"/>
        <rFont val="Arial"/>
        <family val="2"/>
      </rPr>
      <t>]</t>
    </r>
  </si>
  <si>
    <r>
      <t xml:space="preserve">[C. </t>
    </r>
    <r>
      <rPr>
        <sz val="10"/>
        <color rgb="FF000000"/>
        <rFont val="돋움"/>
        <family val="3"/>
        <charset val="129"/>
      </rPr>
      <t>직각유도로</t>
    </r>
    <r>
      <rPr>
        <sz val="10"/>
        <color rgb="FF000000"/>
        <rFont val="Arial"/>
        <family val="2"/>
      </rPr>
      <t>(</t>
    </r>
    <r>
      <rPr>
        <sz val="10"/>
        <color rgb="FF000000"/>
        <rFont val="돋움"/>
        <family val="3"/>
        <charset val="129"/>
      </rPr>
      <t>활주로</t>
    </r>
    <r>
      <rPr>
        <sz val="10"/>
        <color rgb="FF000000"/>
        <rFont val="Arial"/>
        <family val="2"/>
      </rPr>
      <t>)]</t>
    </r>
  </si>
  <si>
    <r>
      <t xml:space="preserve">[D. </t>
    </r>
    <r>
      <rPr>
        <sz val="10"/>
        <color rgb="FF000000"/>
        <rFont val="돋움"/>
        <family val="3"/>
        <charset val="129"/>
      </rPr>
      <t>직각유도로</t>
    </r>
    <r>
      <rPr>
        <sz val="10"/>
        <color rgb="FF000000"/>
        <rFont val="Arial"/>
        <family val="2"/>
      </rPr>
      <t>(</t>
    </r>
    <r>
      <rPr>
        <sz val="10"/>
        <color rgb="FF000000"/>
        <rFont val="돋움"/>
        <family val="3"/>
        <charset val="129"/>
      </rPr>
      <t>주기장</t>
    </r>
    <r>
      <rPr>
        <sz val="10"/>
        <color rgb="FF000000"/>
        <rFont val="Arial"/>
        <family val="2"/>
      </rPr>
      <t>)]</t>
    </r>
  </si>
  <si>
    <r>
      <t xml:space="preserve">[A. </t>
    </r>
    <r>
      <rPr>
        <sz val="10"/>
        <color rgb="FF000000"/>
        <rFont val="돋움"/>
        <family val="3"/>
        <charset val="129"/>
      </rPr>
      <t>활주로</t>
    </r>
    <r>
      <rPr>
        <sz val="10"/>
        <color rgb="FF000000"/>
        <rFont val="Arial"/>
        <family val="2"/>
      </rPr>
      <t>]</t>
    </r>
  </si>
  <si>
    <r>
      <t xml:space="preserve">[B. </t>
    </r>
    <r>
      <rPr>
        <sz val="10"/>
        <color rgb="FF000000"/>
        <rFont val="돋움"/>
        <family val="3"/>
        <charset val="129"/>
      </rPr>
      <t>유도로</t>
    </r>
    <r>
      <rPr>
        <sz val="10"/>
        <color rgb="FF000000"/>
        <rFont val="Arial"/>
        <family val="2"/>
      </rPr>
      <t>]</t>
    </r>
  </si>
  <si>
    <r>
      <t xml:space="preserve">[E. </t>
    </r>
    <r>
      <rPr>
        <sz val="10"/>
        <color rgb="FF000000"/>
        <rFont val="돋움"/>
        <family val="3"/>
        <charset val="129"/>
      </rPr>
      <t>주기장</t>
    </r>
    <r>
      <rPr>
        <sz val="10"/>
        <color rgb="FF000000"/>
        <rFont val="Arial"/>
        <family val="2"/>
      </rPr>
      <t>]</t>
    </r>
  </si>
  <si>
    <t>5개월</t>
    <phoneticPr fontId="33" type="noConversion"/>
  </si>
  <si>
    <t xml:space="preserve">* 전산소모품
  - HP Q6000A(검정) : 132,700원 X 2SET = 265,400원
  - HP Q6001A(파랑) : 144,800원 X 2SET = 289,600원 
  - HP Q6002A(노랑) : 144,800원  X 2SET = 289,600원 
  - HP Q6003A(진홍) :  144,800원 X 2SET = 289,600원
  - 복사지 : 22,500원 X 5BOX = 112,500원
</t>
    <phoneticPr fontId="33" type="noConversion"/>
  </si>
  <si>
    <t>* 보고서 작성
  - 연구보고서 책자 : 45,000원 X 30SET =1,350,000원
  - 연구보고서 CD :10,000원 X 2SET = 20,000원</t>
    <phoneticPr fontId="33" type="noConversion"/>
  </si>
  <si>
    <t xml:space="preserve">     1.  측량비</t>
    <phoneticPr fontId="33" type="noConversion"/>
  </si>
  <si>
    <t xml:space="preserve">      3. 연구비</t>
    <phoneticPr fontId="33" type="noConversion"/>
  </si>
  <si>
    <t>2.  손해배상보험(공제)</t>
    <phoneticPr fontId="33" type="noConversion"/>
  </si>
  <si>
    <t>&lt;활주로 지역 배수로개선 선행연구 산출내역서&gt;
(배수로 측량포함)</t>
    <phoneticPr fontId="33" type="noConversion"/>
  </si>
  <si>
    <r>
      <t xml:space="preserve">금액 </t>
    </r>
    <r>
      <rPr>
        <b/>
        <sz val="9"/>
        <color rgb="FF000000"/>
        <rFont val="맑은 고딕"/>
        <family val="3"/>
        <charset val="129"/>
        <scheme val="major"/>
      </rPr>
      <t>(원)</t>
    </r>
  </si>
  <si>
    <r>
      <t xml:space="preserve">구성비
</t>
    </r>
    <r>
      <rPr>
        <b/>
        <sz val="9"/>
        <color rgb="FF000000"/>
        <rFont val="맑은 고딕"/>
        <family val="3"/>
        <charset val="129"/>
        <scheme val="major"/>
      </rPr>
      <t>(%)</t>
    </r>
  </si>
  <si>
    <t xml:space="preserve"> • '22년 기재부 (별표2) 학술연구용역 인건비 기준단가 적용
   * 1달을 22일 기준으로 하여 참여율 산정</t>
    <phoneticPr fontId="33" type="noConversion"/>
  </si>
  <si>
    <t xml:space="preserve">     1. 인건비</t>
    <phoneticPr fontId="33" type="noConversion"/>
  </si>
  <si>
    <t xml:space="preserve">     2. 경비</t>
    <phoneticPr fontId="33" type="noConversion"/>
  </si>
  <si>
    <t>원단위 절사</t>
    <phoneticPr fontId="3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</si>
</sst>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5">
    <numFmt numFmtId="41" formatCode="_-* #,##0_-;\-* #,##0_-;_-* &quot;-&quot;_-;_-@_-"/>
    <numFmt numFmtId="176" formatCode="#,##0.0########"/>
    <numFmt numFmtId="177" formatCode="\ \ \1\)\ @\ "/>
    <numFmt numFmtId="178" formatCode="#,###&quot;원&quot;"/>
    <numFmt numFmtId="179" formatCode="0.0"/>
    <numFmt numFmtId="180" formatCode="\(@&quot;%&quot;\)"/>
    <numFmt numFmtId="181" formatCode="\ \ \2\)\ @\ "/>
    <numFmt numFmtId="182" formatCode="\ \ \3\)\ @\ "/>
    <numFmt numFmtId="183" formatCode="\ \ \4\)\ @\ "/>
    <numFmt numFmtId="184" formatCode="&quot;(&quot;\ General\ &quot;)&quot;"/>
    <numFmt numFmtId="185" formatCode="0.00000000000000000%"/>
    <numFmt numFmtId="186" formatCode="_-* #,##0.0_-;\-* #,##0.0_-;_-* &quot;-&quot;?_-;_-@_-"/>
    <numFmt numFmtId="187" formatCode="#,##0_ "/>
    <numFmt numFmtId="188" formatCode="_-[$€-2]* #,##0.00_-;\-[$€-2]* #,##0.00_-;_-[$€-2]* &quot;-&quot;??_-"/>
    <numFmt numFmtId="189" formatCode="#,##0.00_);[Red]\(#,##0.00\)"/>
    <numFmt numFmtId="190" formatCode="0.00_ "/>
    <numFmt numFmtId="191" formatCode="_-* #,##0.00_-;\-* #,##0.00_-;_-* &quot;-&quot;_-;_-@_-"/>
    <numFmt numFmtId="192" formatCode="0.0_ "/>
    <numFmt numFmtId="193" formatCode="#,##0_);[Red]\(#,##0\)"/>
    <numFmt numFmtId="194" formatCode="&quot;금&quot;\ #,##0&quot;원&quot;"/>
    <numFmt numFmtId="195" formatCode="\(&quot;₩&quot;#,##0\)"/>
    <numFmt numFmtId="196" formatCode="&quot;=&quot;#,##0\ &quot;적용&quot;"/>
    <numFmt numFmtId="197" formatCode="0.000"/>
    <numFmt numFmtId="198" formatCode="0.000_ "/>
    <numFmt numFmtId="199" formatCode="General&quot;개&quot;&quot;월&quot;"/>
  </numFmts>
  <fonts count="53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0"/>
      <color rgb="FF000000"/>
      <name val="굴림체"/>
      <family val="3"/>
      <charset val="129"/>
    </font>
    <font>
      <sz val="10"/>
      <color rgb="FF000000"/>
      <name val="Arial"/>
      <family val="2"/>
    </font>
    <font>
      <b/>
      <sz val="9"/>
      <color rgb="FF000000"/>
      <name val="굴림체"/>
      <family val="3"/>
      <charset val="129"/>
    </font>
    <font>
      <sz val="9"/>
      <color rgb="FF000000"/>
      <name val="굴림체"/>
      <family val="3"/>
      <charset val="129"/>
    </font>
    <font>
      <sz val="11"/>
      <color rgb="FF000000"/>
      <name val="굴림"/>
      <family val="3"/>
      <charset val="129"/>
    </font>
    <font>
      <sz val="10"/>
      <color rgb="FF000000"/>
      <name val="굴림"/>
      <family val="3"/>
      <charset val="129"/>
    </font>
    <font>
      <sz val="10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sz val="10"/>
      <color rgb="FF000000"/>
      <name val="-윤고딕110"/>
      <family val="3"/>
      <charset val="129"/>
    </font>
    <font>
      <sz val="11"/>
      <color rgb="FF000000"/>
      <name val="-윤고딕110"/>
      <family val="3"/>
      <charset val="129"/>
    </font>
    <font>
      <b/>
      <sz val="10"/>
      <color rgb="FF000000"/>
      <name val="-윤고딕110"/>
      <family val="3"/>
      <charset val="129"/>
    </font>
    <font>
      <sz val="9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22"/>
      <color rgb="FF000000"/>
      <name val="돋움"/>
      <family val="3"/>
      <charset val="129"/>
    </font>
    <font>
      <b/>
      <sz val="26"/>
      <color rgb="FF000000"/>
      <name val="가는둥근제목체"/>
      <family val="3"/>
      <charset val="129"/>
    </font>
    <font>
      <b/>
      <sz val="14"/>
      <color rgb="FF000000"/>
      <name val="돋움"/>
      <family val="3"/>
      <charset val="129"/>
    </font>
    <font>
      <b/>
      <sz val="13"/>
      <color rgb="FF000000"/>
      <name val="돋움"/>
      <family val="3"/>
      <charset val="129"/>
    </font>
    <font>
      <sz val="20"/>
      <color rgb="FF000000"/>
      <name val="HY헤드라인M"/>
      <family val="1"/>
      <charset val="129"/>
    </font>
    <font>
      <sz val="10"/>
      <color rgb="FF000000"/>
      <name val="한컴바탕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FF"/>
      <name val="맑은 고딕"/>
      <family val="3"/>
      <charset val="129"/>
    </font>
    <font>
      <b/>
      <sz val="15"/>
      <color rgb="FF000000"/>
      <name val="맑은 고딕"/>
      <family val="3"/>
      <charset val="129"/>
    </font>
    <font>
      <sz val="28"/>
      <color rgb="FF000000"/>
      <name val="HY헤드라인M"/>
      <family val="1"/>
      <charset val="129"/>
    </font>
    <font>
      <sz val="25"/>
      <color rgb="FF000000"/>
      <name val="HY헤드라인M"/>
      <family val="1"/>
      <charset val="129"/>
    </font>
    <font>
      <b/>
      <sz val="21"/>
      <color rgb="FF000000"/>
      <name val="돋움"/>
      <family val="3"/>
      <charset val="129"/>
    </font>
    <font>
      <b/>
      <sz val="24"/>
      <color rgb="FF000000"/>
      <name val="굴림"/>
      <family val="3"/>
      <charset val="129"/>
    </font>
    <font>
      <sz val="26"/>
      <color rgb="FF000000"/>
      <name val="HY헤드라인M"/>
      <family val="1"/>
      <charset val="129"/>
    </font>
    <font>
      <sz val="26"/>
      <color rgb="FF000000"/>
      <name val="돋움"/>
      <family val="3"/>
      <charset val="129"/>
    </font>
    <font>
      <b/>
      <sz val="20"/>
      <color rgb="FF000000"/>
      <name val="Arial"/>
      <family val="2"/>
    </font>
    <font>
      <b/>
      <sz val="20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0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sz val="12"/>
      <color theme="1"/>
      <name val="굴림"/>
      <family val="3"/>
      <charset val="129"/>
    </font>
    <font>
      <sz val="9"/>
      <color theme="1"/>
      <name val="굴림"/>
      <family val="3"/>
      <charset val="129"/>
    </font>
    <font>
      <b/>
      <sz val="12"/>
      <color rgb="FF000000"/>
      <name val="맑은 고딕"/>
      <family val="3"/>
      <charset val="129"/>
      <scheme val="major"/>
    </font>
    <font>
      <b/>
      <sz val="14"/>
      <color rgb="FF000000"/>
      <name val="맑은 고딕"/>
      <family val="3"/>
      <charset val="129"/>
      <scheme val="major"/>
    </font>
    <font>
      <sz val="18"/>
      <color rgb="FF00000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b/>
      <sz val="11"/>
      <color rgb="FF0000FF"/>
      <name val="맑은 고딕"/>
      <family val="3"/>
      <charset val="129"/>
      <scheme val="major"/>
    </font>
    <font>
      <b/>
      <sz val="11"/>
      <color rgb="FFFF0000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  <scheme val="major"/>
    </font>
    <font>
      <b/>
      <sz val="6"/>
      <color rgb="FF000000"/>
      <name val="맑은 고딕"/>
      <family val="3"/>
      <charset val="129"/>
      <scheme val="major"/>
    </font>
    <font>
      <sz val="8"/>
      <color rgb="FF000000"/>
      <name val="맑은 고딕"/>
      <family val="3"/>
      <charset val="129"/>
      <scheme val="major"/>
    </font>
    <font>
      <b/>
      <sz val="6"/>
      <color rgb="FFFF0000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sz val="10"/>
      <color rgb="FFFF0000"/>
      <name val="맑은 고딕"/>
      <family val="3"/>
      <charset val="129"/>
      <scheme val="major"/>
    </font>
    <font>
      <b/>
      <sz val="9"/>
      <color rgb="FF000000"/>
      <name val="맑은 고딕"/>
      <family val="3"/>
      <charset val="129"/>
      <scheme val="major"/>
    </font>
  </fonts>
  <fills count="9">
    <fill>
      <patternFill patternType="none"/>
    </fill>
    <fill>
      <patternFill patternType="gray125"/>
    </fill>
    <fill>
      <patternFill patternType="solid">
        <fgColor rgb="FFFFFFE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DEADB"/>
        <bgColor indexed="64"/>
      </patternFill>
    </fill>
    <fill>
      <patternFill patternType="solid">
        <fgColor rgb="FFCCFFFF"/>
        <bgColor rgb="FFCCFFFF"/>
      </patternFill>
    </fill>
    <fill>
      <patternFill patternType="solid">
        <fgColor rgb="FFD7E4BC"/>
        <bgColor indexed="64"/>
      </patternFill>
    </fill>
    <fill>
      <patternFill patternType="solid">
        <fgColor theme="8" tint="0.79998168889431442"/>
        <bgColor rgb="FFCCFFFF"/>
      </patternFill>
    </fill>
    <fill>
      <patternFill patternType="solid">
        <fgColor theme="8" tint="0.79998168889431442"/>
        <bgColor indexed="64"/>
      </patternFill>
    </fill>
  </fills>
  <borders count="68">
    <border>
      <left/>
      <right/>
      <top/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double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double">
        <color indexed="64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1">
    <xf numFmtId="0" fontId="0" fillId="0" borderId="0">
      <alignment vertical="center"/>
    </xf>
    <xf numFmtId="41" fontId="3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88" fontId="1" fillId="0" borderId="0"/>
    <xf numFmtId="41" fontId="1" fillId="0" borderId="0"/>
    <xf numFmtId="0" fontId="2" fillId="0" borderId="0"/>
    <xf numFmtId="41" fontId="1" fillId="0" borderId="0"/>
    <xf numFmtId="0" fontId="1" fillId="0" borderId="0"/>
    <xf numFmtId="0" fontId="1" fillId="0" borderId="0">
      <alignment vertical="center"/>
    </xf>
    <xf numFmtId="0" fontId="1" fillId="0" borderId="0">
      <alignment vertical="center"/>
    </xf>
  </cellStyleXfs>
  <cellXfs count="375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3" fillId="0" borderId="0" xfId="2" applyNumberFormat="1" applyFont="1" applyAlignment="1"/>
    <xf numFmtId="0" fontId="3" fillId="0" borderId="0" xfId="2" applyNumberFormat="1" applyFont="1" applyBorder="1" applyAlignment="1">
      <alignment vertical="center"/>
    </xf>
    <xf numFmtId="0" fontId="3" fillId="0" borderId="0" xfId="2" quotePrefix="1" applyNumberFormat="1" applyFont="1" applyBorder="1" applyAlignment="1"/>
    <xf numFmtId="0" fontId="3" fillId="0" borderId="0" xfId="2" applyNumberFormat="1" applyFont="1" applyBorder="1" applyAlignment="1"/>
    <xf numFmtId="3" fontId="4" fillId="0" borderId="1" xfId="2" applyNumberFormat="1" applyFont="1" applyBorder="1" applyAlignment="1">
      <alignment horizontal="center" vertical="center"/>
    </xf>
    <xf numFmtId="3" fontId="4" fillId="0" borderId="2" xfId="2" applyNumberFormat="1" applyFont="1" applyBorder="1" applyAlignment="1">
      <alignment horizontal="center" vertical="center"/>
    </xf>
    <xf numFmtId="3" fontId="4" fillId="0" borderId="3" xfId="2" applyNumberFormat="1" applyFont="1" applyBorder="1" applyAlignment="1">
      <alignment horizontal="center" vertical="center"/>
    </xf>
    <xf numFmtId="3" fontId="5" fillId="0" borderId="4" xfId="2" applyNumberFormat="1" applyFont="1" applyBorder="1" applyAlignment="1">
      <alignment horizontal="left" vertical="center"/>
    </xf>
    <xf numFmtId="3" fontId="5" fillId="0" borderId="4" xfId="2" applyNumberFormat="1" applyFont="1" applyBorder="1" applyAlignment="1">
      <alignment vertical="center"/>
    </xf>
    <xf numFmtId="3" fontId="5" fillId="0" borderId="4" xfId="2" applyNumberFormat="1" applyFont="1" applyBorder="1" applyAlignment="1">
      <alignment horizontal="center" vertical="center"/>
    </xf>
    <xf numFmtId="3" fontId="5" fillId="0" borderId="4" xfId="2" applyNumberFormat="1" applyFont="1" applyBorder="1" applyAlignment="1">
      <alignment horizontal="right" vertical="center"/>
    </xf>
    <xf numFmtId="3" fontId="5" fillId="0" borderId="5" xfId="2" applyNumberFormat="1" applyFont="1" applyBorder="1" applyAlignment="1">
      <alignment horizontal="left" vertical="center"/>
    </xf>
    <xf numFmtId="3" fontId="5" fillId="0" borderId="6" xfId="2" applyNumberFormat="1" applyFont="1" applyBorder="1" applyAlignment="1">
      <alignment horizontal="left" vertical="center"/>
    </xf>
    <xf numFmtId="3" fontId="5" fillId="0" borderId="7" xfId="2" applyNumberFormat="1" applyFont="1" applyBorder="1" applyAlignment="1">
      <alignment horizontal="left" vertical="center"/>
    </xf>
    <xf numFmtId="3" fontId="5" fillId="0" borderId="7" xfId="2" applyNumberFormat="1" applyFont="1" applyBorder="1" applyAlignment="1">
      <alignment vertical="center"/>
    </xf>
    <xf numFmtId="3" fontId="5" fillId="0" borderId="7" xfId="2" applyNumberFormat="1" applyFont="1" applyBorder="1" applyAlignment="1">
      <alignment horizontal="center" vertical="center"/>
    </xf>
    <xf numFmtId="41" fontId="5" fillId="0" borderId="7" xfId="2" applyNumberFormat="1" applyFont="1" applyBorder="1" applyAlignment="1">
      <alignment vertical="center"/>
    </xf>
    <xf numFmtId="3" fontId="5" fillId="0" borderId="8" xfId="2" applyNumberFormat="1" applyFont="1" applyBorder="1" applyAlignment="1">
      <alignment horizontal="left" vertical="center"/>
    </xf>
    <xf numFmtId="3" fontId="5" fillId="0" borderId="7" xfId="2" applyNumberFormat="1" applyFont="1" applyBorder="1" applyAlignment="1">
      <alignment horizontal="right" vertical="center"/>
    </xf>
    <xf numFmtId="176" fontId="5" fillId="0" borderId="7" xfId="2" applyNumberFormat="1" applyFont="1" applyBorder="1" applyAlignment="1">
      <alignment vertical="center"/>
    </xf>
    <xf numFmtId="3" fontId="5" fillId="0" borderId="9" xfId="2" applyNumberFormat="1" applyFont="1" applyBorder="1" applyAlignment="1">
      <alignment horizontal="left" vertical="center"/>
    </xf>
    <xf numFmtId="3" fontId="5" fillId="0" borderId="10" xfId="2" applyNumberFormat="1" applyFont="1" applyBorder="1" applyAlignment="1">
      <alignment horizontal="left" vertical="center"/>
    </xf>
    <xf numFmtId="3" fontId="5" fillId="0" borderId="10" xfId="2" applyNumberFormat="1" applyFont="1" applyBorder="1" applyAlignment="1">
      <alignment vertical="center"/>
    </xf>
    <xf numFmtId="3" fontId="5" fillId="0" borderId="10" xfId="2" applyNumberFormat="1" applyFont="1" applyBorder="1" applyAlignment="1">
      <alignment horizontal="center" vertical="center"/>
    </xf>
    <xf numFmtId="3" fontId="5" fillId="0" borderId="10" xfId="2" applyNumberFormat="1" applyFont="1" applyBorder="1" applyAlignment="1">
      <alignment horizontal="right" vertical="center"/>
    </xf>
    <xf numFmtId="3" fontId="5" fillId="0" borderId="11" xfId="2" applyNumberFormat="1" applyFont="1" applyBorder="1" applyAlignment="1">
      <alignment horizontal="left" vertical="center"/>
    </xf>
    <xf numFmtId="3" fontId="5" fillId="0" borderId="12" xfId="2" applyNumberFormat="1" applyFont="1" applyBorder="1" applyAlignment="1">
      <alignment vertical="center"/>
    </xf>
    <xf numFmtId="3" fontId="4" fillId="0" borderId="13" xfId="2" applyNumberFormat="1" applyFont="1" applyBorder="1" applyAlignment="1">
      <alignment horizontal="center" vertical="center"/>
    </xf>
    <xf numFmtId="3" fontId="5" fillId="0" borderId="13" xfId="2" applyNumberFormat="1" applyFont="1" applyBorder="1" applyAlignment="1">
      <alignment vertical="center"/>
    </xf>
    <xf numFmtId="3" fontId="5" fillId="0" borderId="14" xfId="2" applyNumberFormat="1" applyFont="1" applyBorder="1" applyAlignment="1">
      <alignment vertical="center"/>
    </xf>
    <xf numFmtId="0" fontId="3" fillId="0" borderId="0" xfId="2" applyNumberFormat="1" applyFont="1" applyAlignment="1">
      <alignment vertical="center"/>
    </xf>
    <xf numFmtId="3" fontId="5" fillId="0" borderId="4" xfId="2" applyNumberFormat="1" applyFont="1" applyBorder="1" applyAlignment="1">
      <alignment horizontal="left" vertical="center" wrapText="1"/>
    </xf>
    <xf numFmtId="41" fontId="5" fillId="0" borderId="4" xfId="2" applyNumberFormat="1" applyFont="1" applyBorder="1" applyAlignment="1">
      <alignment horizontal="right" vertical="center"/>
    </xf>
    <xf numFmtId="41" fontId="5" fillId="0" borderId="7" xfId="2" applyNumberFormat="1" applyFont="1" applyBorder="1" applyAlignment="1">
      <alignment horizontal="right" vertical="center"/>
    </xf>
    <xf numFmtId="41" fontId="3" fillId="0" borderId="0" xfId="2" applyNumberFormat="1" applyFont="1" applyAlignment="1"/>
    <xf numFmtId="41" fontId="5" fillId="0" borderId="10" xfId="2" applyNumberFormat="1" applyFont="1" applyBorder="1" applyAlignment="1">
      <alignment vertical="center"/>
    </xf>
    <xf numFmtId="41" fontId="5" fillId="0" borderId="10" xfId="2" applyNumberFormat="1" applyFont="1" applyBorder="1" applyAlignment="1">
      <alignment horizontal="right" vertical="center"/>
    </xf>
    <xf numFmtId="41" fontId="5" fillId="0" borderId="13" xfId="2" applyNumberFormat="1" applyFont="1" applyBorder="1" applyAlignment="1">
      <alignment vertical="center"/>
    </xf>
    <xf numFmtId="41" fontId="3" fillId="0" borderId="0" xfId="2" applyNumberFormat="1" applyFont="1" applyAlignment="1">
      <alignment vertical="center"/>
    </xf>
    <xf numFmtId="3" fontId="5" fillId="0" borderId="15" xfId="2" quotePrefix="1" applyNumberFormat="1" applyFont="1" applyBorder="1" applyAlignment="1">
      <alignment horizontal="left" vertical="center"/>
    </xf>
    <xf numFmtId="3" fontId="5" fillId="0" borderId="6" xfId="2" quotePrefix="1" applyNumberFormat="1" applyFont="1" applyBorder="1" applyAlignment="1">
      <alignment horizontal="left" vertical="center"/>
    </xf>
    <xf numFmtId="41" fontId="5" fillId="0" borderId="13" xfId="2" applyNumberFormat="1" applyFont="1" applyBorder="1" applyAlignment="1">
      <alignment horizontal="right" vertical="center"/>
    </xf>
    <xf numFmtId="0" fontId="6" fillId="0" borderId="0" xfId="3" applyNumberFormat="1" applyFont="1" applyAlignment="1">
      <alignment horizontal="center" vertical="center"/>
    </xf>
    <xf numFmtId="0" fontId="0" fillId="0" borderId="0" xfId="0" applyNumberFormat="1">
      <alignment vertical="center"/>
    </xf>
    <xf numFmtId="188" fontId="10" fillId="0" borderId="0" xfId="0" applyNumberFormat="1" applyFont="1" applyAlignment="1">
      <alignment horizontal="left" vertical="center"/>
    </xf>
    <xf numFmtId="188" fontId="11" fillId="0" borderId="0" xfId="4" applyNumberFormat="1" applyFont="1" applyAlignment="1">
      <alignment vertical="center"/>
    </xf>
    <xf numFmtId="188" fontId="10" fillId="0" borderId="0" xfId="0" applyNumberFormat="1" applyFont="1" applyAlignment="1">
      <alignment vertical="center"/>
    </xf>
    <xf numFmtId="188" fontId="10" fillId="3" borderId="16" xfId="0" applyNumberFormat="1" applyFont="1" applyFill="1" applyBorder="1" applyAlignment="1">
      <alignment horizontal="center" vertical="center"/>
    </xf>
    <xf numFmtId="41" fontId="12" fillId="4" borderId="16" xfId="1" applyNumberFormat="1" applyFont="1" applyFill="1" applyBorder="1" applyAlignment="1">
      <alignment horizontal="center" vertical="center"/>
    </xf>
    <xf numFmtId="0" fontId="13" fillId="5" borderId="0" xfId="0" applyNumberFormat="1" applyFont="1" applyFill="1" applyAlignment="1">
      <alignment vertical="center"/>
    </xf>
    <xf numFmtId="0" fontId="13" fillId="0" borderId="0" xfId="0" applyNumberFormat="1" applyFont="1">
      <alignment vertical="center"/>
    </xf>
    <xf numFmtId="0" fontId="13" fillId="0" borderId="0" xfId="0" applyNumberFormat="1" applyFont="1" applyAlignment="1">
      <alignment horizontal="center"/>
    </xf>
    <xf numFmtId="3" fontId="13" fillId="0" borderId="0" xfId="0" applyNumberFormat="1" applyFont="1">
      <alignment vertical="center"/>
    </xf>
    <xf numFmtId="41" fontId="13" fillId="0" borderId="0" xfId="1" applyNumberFormat="1" applyFont="1" applyAlignment="1"/>
    <xf numFmtId="41" fontId="13" fillId="0" borderId="0" xfId="0" applyNumberFormat="1" applyFont="1">
      <alignment vertical="center"/>
    </xf>
    <xf numFmtId="0" fontId="0" fillId="0" borderId="27" xfId="0" applyNumberFormat="1" applyBorder="1">
      <alignment vertical="center"/>
    </xf>
    <xf numFmtId="0" fontId="0" fillId="0" borderId="19" xfId="0" applyNumberFormat="1" applyBorder="1">
      <alignment vertical="center"/>
    </xf>
    <xf numFmtId="0" fontId="0" fillId="0" borderId="30" xfId="0" applyNumberFormat="1" applyBorder="1">
      <alignment vertical="center"/>
    </xf>
    <xf numFmtId="0" fontId="15" fillId="0" borderId="0" xfId="0" applyNumberFormat="1" applyFont="1" applyBorder="1" applyAlignment="1">
      <alignment horizontal="center" vertical="center"/>
    </xf>
    <xf numFmtId="0" fontId="0" fillId="0" borderId="31" xfId="0" applyNumberFormat="1" applyBorder="1">
      <alignment vertical="center"/>
    </xf>
    <xf numFmtId="0" fontId="16" fillId="0" borderId="0" xfId="0" applyNumberFormat="1" applyFont="1" applyBorder="1" applyAlignment="1">
      <alignment horizontal="center" vertical="center"/>
    </xf>
    <xf numFmtId="0" fontId="16" fillId="0" borderId="31" xfId="0" applyNumberFormat="1" applyFont="1" applyBorder="1" applyAlignment="1">
      <alignment horizontal="center" vertical="center"/>
    </xf>
    <xf numFmtId="0" fontId="0" fillId="0" borderId="0" xfId="0" applyNumberFormat="1" applyBorder="1">
      <alignment vertical="center"/>
    </xf>
    <xf numFmtId="0" fontId="17" fillId="0" borderId="0" xfId="0" applyNumberFormat="1" applyFont="1" applyBorder="1" applyAlignment="1">
      <alignment horizontal="center" vertical="center"/>
    </xf>
    <xf numFmtId="0" fontId="17" fillId="0" borderId="0" xfId="0" applyNumberFormat="1" applyFont="1" applyBorder="1" applyAlignment="1">
      <alignment horizontal="center" vertical="center"/>
    </xf>
    <xf numFmtId="0" fontId="17" fillId="0" borderId="0" xfId="0" applyNumberFormat="1" applyFont="1" applyBorder="1" applyAlignment="1">
      <alignment vertical="center"/>
    </xf>
    <xf numFmtId="0" fontId="17" fillId="0" borderId="0" xfId="0" applyNumberFormat="1" applyFont="1" applyBorder="1" applyAlignment="1">
      <alignment horizontal="right" vertical="center"/>
    </xf>
    <xf numFmtId="0" fontId="17" fillId="0" borderId="0" xfId="0" applyNumberFormat="1" applyFont="1" applyBorder="1">
      <alignment vertical="center"/>
    </xf>
    <xf numFmtId="0" fontId="18" fillId="0" borderId="0" xfId="0" applyNumberFormat="1" applyFont="1" applyBorder="1" applyAlignment="1">
      <alignment horizontal="left" vertical="center"/>
    </xf>
    <xf numFmtId="0" fontId="17" fillId="0" borderId="0" xfId="0" applyNumberFormat="1" applyFont="1" applyBorder="1" applyAlignment="1">
      <alignment horizontal="left" vertical="center"/>
    </xf>
    <xf numFmtId="0" fontId="0" fillId="0" borderId="32" xfId="0" applyNumberFormat="1" applyBorder="1">
      <alignment vertical="center"/>
    </xf>
    <xf numFmtId="0" fontId="17" fillId="0" borderId="33" xfId="0" applyNumberFormat="1" applyFont="1" applyBorder="1" applyAlignment="1">
      <alignment horizontal="centerContinuous" vertical="center"/>
    </xf>
    <xf numFmtId="0" fontId="17" fillId="0" borderId="33" xfId="0" applyNumberFormat="1" applyFont="1" applyBorder="1" applyAlignment="1">
      <alignment vertical="center"/>
    </xf>
    <xf numFmtId="0" fontId="0" fillId="0" borderId="33" xfId="0" applyNumberFormat="1" applyBorder="1">
      <alignment vertical="center"/>
    </xf>
    <xf numFmtId="0" fontId="0" fillId="0" borderId="34" xfId="0" applyNumberFormat="1" applyBorder="1">
      <alignment vertical="center"/>
    </xf>
    <xf numFmtId="0" fontId="17" fillId="0" borderId="0" xfId="0" applyNumberFormat="1" applyFont="1" applyBorder="1" applyAlignment="1">
      <alignment horizontal="centerContinuous" vertical="center"/>
    </xf>
    <xf numFmtId="0" fontId="7" fillId="0" borderId="35" xfId="6" applyNumberFormat="1" applyFont="1" applyBorder="1"/>
    <xf numFmtId="0" fontId="7" fillId="0" borderId="36" xfId="6" applyNumberFormat="1" applyFont="1" applyBorder="1"/>
    <xf numFmtId="0" fontId="7" fillId="0" borderId="37" xfId="6" applyNumberFormat="1" applyFont="1" applyBorder="1"/>
    <xf numFmtId="0" fontId="7" fillId="0" borderId="38" xfId="6" applyNumberFormat="1" applyFont="1" applyBorder="1" applyAlignment="1">
      <alignment vertical="center"/>
    </xf>
    <xf numFmtId="0" fontId="19" fillId="0" borderId="0" xfId="6" applyNumberFormat="1" applyFont="1" applyBorder="1" applyAlignment="1">
      <alignment vertical="center"/>
    </xf>
    <xf numFmtId="0" fontId="7" fillId="0" borderId="0" xfId="6" applyNumberFormat="1" applyFont="1" applyBorder="1" applyAlignment="1">
      <alignment vertical="center"/>
    </xf>
    <xf numFmtId="0" fontId="7" fillId="0" borderId="39" xfId="6" applyNumberFormat="1" applyFont="1" applyBorder="1" applyAlignment="1">
      <alignment vertical="center"/>
    </xf>
    <xf numFmtId="0" fontId="7" fillId="0" borderId="0" xfId="6" applyNumberFormat="1" applyFont="1" applyBorder="1" applyAlignment="1">
      <alignment horizontal="distributed" vertical="center" wrapText="1"/>
    </xf>
    <xf numFmtId="196" fontId="7" fillId="0" borderId="0" xfId="6" applyNumberFormat="1" applyFont="1" applyBorder="1" applyAlignment="1">
      <alignment horizontal="distributed" vertical="center" wrapText="1"/>
    </xf>
    <xf numFmtId="0" fontId="20" fillId="0" borderId="0" xfId="0" applyNumberFormat="1" applyFont="1" applyBorder="1" applyAlignment="1">
      <alignment horizontal="justify" wrapText="1"/>
    </xf>
    <xf numFmtId="0" fontId="7" fillId="0" borderId="40" xfId="6" applyNumberFormat="1" applyFont="1" applyBorder="1"/>
    <xf numFmtId="0" fontId="7" fillId="0" borderId="41" xfId="6" applyNumberFormat="1" applyFont="1" applyBorder="1"/>
    <xf numFmtId="0" fontId="7" fillId="0" borderId="42" xfId="6" applyNumberFormat="1" applyFont="1" applyBorder="1"/>
    <xf numFmtId="0" fontId="0" fillId="0" borderId="0" xfId="0" applyNumberFormat="1" applyFont="1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Font="1" applyAlignment="1">
      <alignment vertical="center"/>
    </xf>
    <xf numFmtId="0" fontId="0" fillId="0" borderId="0" xfId="0" applyNumberFormat="1" applyFont="1" applyAlignment="1">
      <alignment horizontal="center" vertical="center"/>
    </xf>
    <xf numFmtId="0" fontId="21" fillId="0" borderId="16" xfId="0" applyNumberFormat="1" applyFont="1" applyBorder="1" applyAlignment="1">
      <alignment horizontal="center" vertical="center"/>
    </xf>
    <xf numFmtId="0" fontId="8" fillId="0" borderId="16" xfId="0" applyNumberFormat="1" applyFont="1" applyBorder="1" applyAlignment="1">
      <alignment horizontal="center" vertical="center"/>
    </xf>
    <xf numFmtId="197" fontId="8" fillId="0" borderId="16" xfId="0" applyNumberFormat="1" applyFont="1" applyBorder="1" applyAlignment="1">
      <alignment horizontal="center" vertical="center"/>
    </xf>
    <xf numFmtId="197" fontId="8" fillId="0" borderId="16" xfId="10" applyNumberFormat="1" applyFont="1" applyBorder="1" applyAlignment="1">
      <alignment horizontal="center" vertical="center"/>
    </xf>
    <xf numFmtId="0" fontId="8" fillId="0" borderId="16" xfId="10" applyNumberFormat="1" applyFont="1" applyBorder="1" applyAlignment="1">
      <alignment horizontal="center" vertical="center"/>
    </xf>
    <xf numFmtId="0" fontId="8" fillId="0" borderId="0" xfId="0" applyNumberFormat="1" applyFont="1" applyAlignment="1">
      <alignment horizontal="center" vertical="center"/>
    </xf>
    <xf numFmtId="0" fontId="22" fillId="6" borderId="16" xfId="0" applyNumberFormat="1" applyFont="1" applyFill="1" applyBorder="1" applyAlignment="1">
      <alignment horizontal="center" vertical="center"/>
    </xf>
    <xf numFmtId="197" fontId="22" fillId="6" borderId="16" xfId="0" applyNumberFormat="1" applyFont="1" applyFill="1" applyBorder="1" applyAlignment="1">
      <alignment horizontal="center" vertical="center"/>
    </xf>
    <xf numFmtId="0" fontId="0" fillId="0" borderId="0" xfId="0" applyNumberFormat="1" applyFont="1" applyAlignment="1">
      <alignment horizontal="right" vertical="center"/>
    </xf>
    <xf numFmtId="0" fontId="34" fillId="0" borderId="0" xfId="3" applyNumberFormat="1" applyFont="1" applyAlignment="1">
      <alignment horizontal="center" vertical="center"/>
    </xf>
    <xf numFmtId="0" fontId="35" fillId="0" borderId="0" xfId="3" applyNumberFormat="1" applyFont="1" applyAlignment="1">
      <alignment horizontal="center" vertical="center"/>
    </xf>
    <xf numFmtId="0" fontId="37" fillId="0" borderId="0" xfId="3" applyNumberFormat="1" applyFont="1" applyAlignment="1">
      <alignment horizontal="center" vertical="center"/>
    </xf>
    <xf numFmtId="0" fontId="37" fillId="0" borderId="0" xfId="3" applyNumberFormat="1" applyFont="1" applyFill="1" applyBorder="1" applyAlignment="1" applyProtection="1">
      <alignment horizontal="center" vertical="center"/>
      <protection locked="0"/>
    </xf>
    <xf numFmtId="0" fontId="37" fillId="0" borderId="0" xfId="3" applyNumberFormat="1" applyFont="1" applyFill="1" applyBorder="1" applyAlignment="1" applyProtection="1">
      <alignment horizontal="center" vertical="center" wrapText="1"/>
      <protection locked="0"/>
    </xf>
    <xf numFmtId="3" fontId="37" fillId="0" borderId="0" xfId="3" applyNumberFormat="1" applyFont="1" applyFill="1" applyBorder="1" applyAlignment="1" applyProtection="1">
      <alignment horizontal="center" vertical="center"/>
      <protection locked="0"/>
    </xf>
    <xf numFmtId="185" fontId="37" fillId="0" borderId="0" xfId="3" applyNumberFormat="1" applyFont="1" applyAlignment="1">
      <alignment horizontal="center" vertical="center"/>
    </xf>
    <xf numFmtId="41" fontId="34" fillId="0" borderId="0" xfId="3" applyNumberFormat="1" applyFont="1" applyAlignment="1">
      <alignment horizontal="center" vertical="center"/>
    </xf>
    <xf numFmtId="186" fontId="34" fillId="0" borderId="0" xfId="3" applyNumberFormat="1" applyFont="1" applyAlignment="1">
      <alignment horizontal="center" vertical="center"/>
    </xf>
    <xf numFmtId="0" fontId="36" fillId="0" borderId="0" xfId="3" applyNumberFormat="1" applyFont="1" applyFill="1" applyBorder="1" applyAlignment="1" applyProtection="1">
      <alignment horizontal="left"/>
    </xf>
    <xf numFmtId="0" fontId="37" fillId="0" borderId="16" xfId="3" applyNumberFormat="1" applyFont="1" applyFill="1" applyBorder="1" applyAlignment="1" applyProtection="1">
      <alignment horizontal="center" vertical="center"/>
    </xf>
    <xf numFmtId="0" fontId="37" fillId="0" borderId="16" xfId="3" applyNumberFormat="1" applyFont="1" applyFill="1" applyBorder="1" applyAlignment="1" applyProtection="1">
      <alignment horizontal="distributed" vertical="center" wrapText="1"/>
    </xf>
    <xf numFmtId="41" fontId="37" fillId="0" borderId="16" xfId="3" applyNumberFormat="1" applyFont="1" applyFill="1" applyBorder="1" applyAlignment="1" applyProtection="1">
      <alignment horizontal="center" vertical="center"/>
    </xf>
    <xf numFmtId="0" fontId="36" fillId="0" borderId="0" xfId="3" applyNumberFormat="1" applyFont="1" applyFill="1" applyBorder="1" applyAlignment="1" applyProtection="1">
      <alignment horizontal="left"/>
      <protection locked="0"/>
    </xf>
    <xf numFmtId="0" fontId="37" fillId="0" borderId="16" xfId="3" applyNumberFormat="1" applyFont="1" applyFill="1" applyBorder="1" applyAlignment="1" applyProtection="1">
      <alignment horizontal="center" vertical="center"/>
      <protection locked="0"/>
    </xf>
    <xf numFmtId="0" fontId="37" fillId="0" borderId="16" xfId="3" applyNumberFormat="1" applyFont="1" applyFill="1" applyBorder="1" applyAlignment="1" applyProtection="1">
      <alignment horizontal="center" vertical="center" wrapText="1"/>
      <protection locked="0"/>
    </xf>
    <xf numFmtId="3" fontId="37" fillId="0" borderId="16" xfId="3" applyNumberFormat="1" applyFont="1" applyFill="1" applyBorder="1" applyAlignment="1" applyProtection="1">
      <alignment horizontal="center" vertical="center"/>
      <protection locked="0"/>
    </xf>
    <xf numFmtId="0" fontId="29" fillId="0" borderId="0" xfId="0" applyNumberFormat="1" applyFont="1" applyBorder="1" applyAlignment="1">
      <alignment horizontal="center" vertical="center"/>
    </xf>
    <xf numFmtId="0" fontId="1" fillId="0" borderId="51" xfId="3" applyNumberFormat="1" applyBorder="1" applyAlignment="1">
      <alignment vertical="center" wrapText="1"/>
    </xf>
    <xf numFmtId="0" fontId="1" fillId="0" borderId="46" xfId="3" applyNumberFormat="1" applyBorder="1" applyAlignment="1">
      <alignment vertical="center" wrapText="1"/>
    </xf>
    <xf numFmtId="0" fontId="41" fillId="0" borderId="0" xfId="0" applyNumberFormat="1" applyFont="1" applyAlignment="1">
      <alignment horizontal="center" vertical="center"/>
    </xf>
    <xf numFmtId="41" fontId="41" fillId="0" borderId="0" xfId="7" applyNumberFormat="1" applyFont="1" applyAlignment="1">
      <alignment horizontal="center" vertical="center"/>
    </xf>
    <xf numFmtId="0" fontId="41" fillId="0" borderId="16" xfId="0" applyNumberFormat="1" applyFont="1" applyBorder="1" applyAlignment="1">
      <alignment horizontal="center" vertical="center"/>
    </xf>
    <xf numFmtId="0" fontId="41" fillId="0" borderId="16" xfId="8" applyNumberFormat="1" applyFont="1" applyBorder="1" applyAlignment="1">
      <alignment horizontal="center" vertical="center"/>
    </xf>
    <xf numFmtId="41" fontId="41" fillId="0" borderId="16" xfId="7" applyNumberFormat="1" applyFont="1" applyFill="1" applyBorder="1" applyAlignment="1">
      <alignment horizontal="center" vertical="center"/>
    </xf>
    <xf numFmtId="0" fontId="41" fillId="0" borderId="0" xfId="9" applyNumberFormat="1" applyFont="1" applyFill="1" applyBorder="1" applyAlignment="1">
      <alignment horizontal="center" vertical="center"/>
    </xf>
    <xf numFmtId="41" fontId="41" fillId="0" borderId="16" xfId="7" applyNumberFormat="1" applyFont="1" applyBorder="1" applyAlignment="1">
      <alignment horizontal="center" vertical="center"/>
    </xf>
    <xf numFmtId="198" fontId="41" fillId="0" borderId="16" xfId="0" applyNumberFormat="1" applyFont="1" applyFill="1" applyBorder="1" applyAlignment="1">
      <alignment horizontal="center" vertical="center"/>
    </xf>
    <xf numFmtId="41" fontId="41" fillId="0" borderId="21" xfId="7" applyNumberFormat="1" applyFont="1" applyBorder="1" applyAlignment="1">
      <alignment horizontal="center" vertical="center"/>
    </xf>
    <xf numFmtId="0" fontId="41" fillId="0" borderId="29" xfId="0" applyNumberFormat="1" applyFont="1" applyBorder="1" applyAlignment="1">
      <alignment horizontal="center" vertical="center"/>
    </xf>
    <xf numFmtId="41" fontId="41" fillId="0" borderId="46" xfId="7" applyNumberFormat="1" applyFont="1" applyFill="1" applyBorder="1" applyAlignment="1">
      <alignment horizontal="center" vertical="center"/>
    </xf>
    <xf numFmtId="0" fontId="41" fillId="0" borderId="0" xfId="0" applyNumberFormat="1" applyFont="1">
      <alignment vertical="center"/>
    </xf>
    <xf numFmtId="0" fontId="41" fillId="0" borderId="0" xfId="0" applyNumberFormat="1" applyFont="1" applyBorder="1" applyAlignment="1">
      <alignment horizontal="center" vertical="center"/>
    </xf>
    <xf numFmtId="41" fontId="41" fillId="0" borderId="0" xfId="7" applyNumberFormat="1" applyFont="1" applyBorder="1" applyAlignment="1">
      <alignment horizontal="center" vertical="center"/>
    </xf>
    <xf numFmtId="41" fontId="41" fillId="0" borderId="0" xfId="7" applyNumberFormat="1" applyFont="1" applyFill="1" applyBorder="1" applyAlignment="1">
      <alignment horizontal="center" vertical="center"/>
    </xf>
    <xf numFmtId="41" fontId="41" fillId="0" borderId="45" xfId="7" applyNumberFormat="1" applyFont="1" applyBorder="1" applyAlignment="1">
      <alignment horizontal="center" vertical="center"/>
    </xf>
    <xf numFmtId="0" fontId="41" fillId="0" borderId="21" xfId="0" applyNumberFormat="1" applyFont="1" applyBorder="1" applyAlignment="1">
      <alignment horizontal="center" vertical="center"/>
    </xf>
    <xf numFmtId="199" fontId="41" fillId="0" borderId="16" xfId="0" applyNumberFormat="1" applyFont="1" applyFill="1" applyBorder="1" applyAlignment="1">
      <alignment horizontal="center" vertical="center"/>
    </xf>
    <xf numFmtId="41" fontId="41" fillId="0" borderId="45" xfId="7" quotePrefix="1" applyNumberFormat="1" applyFont="1" applyBorder="1" applyAlignment="1">
      <alignment horizontal="center" vertical="center"/>
    </xf>
    <xf numFmtId="199" fontId="41" fillId="0" borderId="52" xfId="7" quotePrefix="1" applyNumberFormat="1" applyFont="1" applyFill="1" applyBorder="1" applyAlignment="1">
      <alignment horizontal="right" vertical="center"/>
    </xf>
    <xf numFmtId="0" fontId="41" fillId="0" borderId="53" xfId="0" quotePrefix="1" applyNumberFormat="1" applyFont="1" applyBorder="1" applyAlignment="1">
      <alignment vertical="center"/>
    </xf>
    <xf numFmtId="188" fontId="42" fillId="8" borderId="16" xfId="4" applyNumberFormat="1" applyFont="1" applyFill="1" applyBorder="1" applyAlignment="1">
      <alignment horizontal="center" vertical="center"/>
    </xf>
    <xf numFmtId="188" fontId="43" fillId="8" borderId="16" xfId="4" applyNumberFormat="1" applyFont="1" applyFill="1" applyBorder="1" applyAlignment="1">
      <alignment horizontal="center" vertical="center"/>
    </xf>
    <xf numFmtId="189" fontId="41" fillId="8" borderId="16" xfId="4" applyNumberFormat="1" applyFont="1" applyFill="1" applyBorder="1" applyAlignment="1">
      <alignment horizontal="center" vertical="center"/>
    </xf>
    <xf numFmtId="188" fontId="41" fillId="0" borderId="16" xfId="4" applyNumberFormat="1" applyFont="1" applyBorder="1" applyAlignment="1">
      <alignment horizontal="center" vertical="center"/>
    </xf>
    <xf numFmtId="189" fontId="41" fillId="0" borderId="16" xfId="4" applyNumberFormat="1" applyFont="1" applyBorder="1" applyAlignment="1">
      <alignment vertical="center"/>
    </xf>
    <xf numFmtId="188" fontId="41" fillId="0" borderId="16" xfId="4" applyNumberFormat="1" applyFont="1" applyBorder="1" applyAlignment="1">
      <alignment vertical="center"/>
    </xf>
    <xf numFmtId="190" fontId="45" fillId="3" borderId="16" xfId="4" applyNumberFormat="1" applyFont="1" applyFill="1" applyBorder="1" applyAlignment="1">
      <alignment vertical="center"/>
    </xf>
    <xf numFmtId="188" fontId="46" fillId="0" borderId="16" xfId="4" applyNumberFormat="1" applyFont="1" applyBorder="1" applyAlignment="1">
      <alignment horizontal="center" vertical="center"/>
    </xf>
    <xf numFmtId="188" fontId="47" fillId="0" borderId="16" xfId="4" applyNumberFormat="1" applyFont="1" applyBorder="1" applyAlignment="1">
      <alignment horizontal="center" vertical="center"/>
    </xf>
    <xf numFmtId="188" fontId="43" fillId="0" borderId="16" xfId="4" applyNumberFormat="1" applyFont="1" applyBorder="1" applyAlignment="1">
      <alignment horizontal="center" vertical="center"/>
    </xf>
    <xf numFmtId="189" fontId="41" fillId="0" borderId="16" xfId="4" applyNumberFormat="1" applyFont="1" applyFill="1" applyBorder="1" applyAlignment="1">
      <alignment vertical="center"/>
    </xf>
    <xf numFmtId="191" fontId="45" fillId="3" borderId="16" xfId="1" applyNumberFormat="1" applyFont="1" applyFill="1" applyBorder="1" applyAlignment="1">
      <alignment horizontal="center" vertical="center"/>
    </xf>
    <xf numFmtId="188" fontId="41" fillId="0" borderId="16" xfId="4" applyNumberFormat="1" applyFont="1" applyBorder="1" applyAlignment="1">
      <alignment vertical="center" shrinkToFit="1"/>
    </xf>
    <xf numFmtId="189" fontId="43" fillId="0" borderId="16" xfId="4" applyNumberFormat="1" applyFont="1" applyBorder="1" applyAlignment="1">
      <alignment horizontal="right" vertical="center" shrinkToFit="1"/>
    </xf>
    <xf numFmtId="188" fontId="43" fillId="0" borderId="16" xfId="4" applyNumberFormat="1" applyFont="1" applyBorder="1" applyAlignment="1">
      <alignment horizontal="center" vertical="center" shrinkToFit="1"/>
    </xf>
    <xf numFmtId="188" fontId="47" fillId="0" borderId="16" xfId="4" applyNumberFormat="1" applyFont="1" applyBorder="1" applyAlignment="1">
      <alignment horizontal="center" vertical="center" shrinkToFit="1"/>
    </xf>
    <xf numFmtId="190" fontId="48" fillId="0" borderId="16" xfId="4" applyNumberFormat="1" applyFont="1" applyBorder="1" applyAlignment="1">
      <alignment horizontal="center" vertical="center" shrinkToFit="1"/>
    </xf>
    <xf numFmtId="190" fontId="43" fillId="0" borderId="16" xfId="4" applyNumberFormat="1" applyFont="1" applyFill="1" applyBorder="1" applyAlignment="1">
      <alignment horizontal="center" vertical="center" shrinkToFit="1"/>
    </xf>
    <xf numFmtId="190" fontId="43" fillId="0" borderId="16" xfId="4" applyNumberFormat="1" applyFont="1" applyBorder="1" applyAlignment="1">
      <alignment horizontal="center" vertical="center" shrinkToFit="1"/>
    </xf>
    <xf numFmtId="192" fontId="43" fillId="0" borderId="16" xfId="4" applyNumberFormat="1" applyFont="1" applyBorder="1" applyAlignment="1">
      <alignment horizontal="center" vertical="center" shrinkToFit="1"/>
    </xf>
    <xf numFmtId="189" fontId="43" fillId="0" borderId="16" xfId="4" applyNumberFormat="1" applyFont="1" applyBorder="1" applyAlignment="1">
      <alignment horizontal="center" vertical="center" shrinkToFit="1"/>
    </xf>
    <xf numFmtId="188" fontId="41" fillId="0" borderId="16" xfId="4" applyNumberFormat="1" applyFont="1" applyBorder="1" applyAlignment="1">
      <alignment horizontal="center" vertical="center" shrinkToFit="1"/>
    </xf>
    <xf numFmtId="189" fontId="41" fillId="0" borderId="16" xfId="4" applyNumberFormat="1" applyFont="1" applyBorder="1" applyAlignment="1">
      <alignment vertical="center" shrinkToFit="1"/>
    </xf>
    <xf numFmtId="190" fontId="43" fillId="0" borderId="16" xfId="4" applyNumberFormat="1" applyFont="1" applyBorder="1" applyAlignment="1">
      <alignment horizontal="right" vertical="center" shrinkToFit="1"/>
    </xf>
    <xf numFmtId="41" fontId="45" fillId="0" borderId="16" xfId="1" applyNumberFormat="1" applyFont="1" applyBorder="1" applyAlignment="1">
      <alignment vertical="center"/>
    </xf>
    <xf numFmtId="41" fontId="49" fillId="0" borderId="16" xfId="1" applyNumberFormat="1" applyFont="1" applyBorder="1" applyAlignment="1">
      <alignment vertical="center"/>
    </xf>
    <xf numFmtId="41" fontId="50" fillId="0" borderId="16" xfId="1" applyNumberFormat="1" applyFont="1" applyBorder="1" applyAlignment="1">
      <alignment vertical="center"/>
    </xf>
    <xf numFmtId="187" fontId="41" fillId="0" borderId="16" xfId="4" applyNumberFormat="1" applyFont="1" applyFill="1" applyBorder="1" applyAlignment="1">
      <alignment horizontal="center" vertical="center"/>
    </xf>
    <xf numFmtId="193" fontId="41" fillId="0" borderId="16" xfId="4" applyNumberFormat="1" applyFont="1" applyFill="1" applyBorder="1" applyAlignment="1">
      <alignment vertical="center"/>
    </xf>
    <xf numFmtId="188" fontId="43" fillId="0" borderId="16" xfId="4" applyNumberFormat="1" applyFont="1" applyBorder="1" applyAlignment="1">
      <alignment vertical="center"/>
    </xf>
    <xf numFmtId="188" fontId="47" fillId="0" borderId="16" xfId="4" applyNumberFormat="1" applyFont="1" applyBorder="1" applyAlignment="1">
      <alignment vertical="center"/>
    </xf>
    <xf numFmtId="188" fontId="44" fillId="0" borderId="16" xfId="4" applyNumberFormat="1" applyFont="1" applyFill="1" applyBorder="1" applyAlignment="1">
      <alignment horizontal="center" vertical="center"/>
    </xf>
    <xf numFmtId="187" fontId="41" fillId="0" borderId="16" xfId="4" applyNumberFormat="1" applyFont="1" applyFill="1" applyBorder="1" applyAlignment="1">
      <alignment vertical="center"/>
    </xf>
    <xf numFmtId="187" fontId="43" fillId="0" borderId="16" xfId="4" applyNumberFormat="1" applyFont="1" applyFill="1" applyBorder="1" applyAlignment="1">
      <alignment vertical="center"/>
    </xf>
    <xf numFmtId="187" fontId="47" fillId="0" borderId="16" xfId="4" applyNumberFormat="1" applyFont="1" applyFill="1" applyBorder="1" applyAlignment="1">
      <alignment vertical="center"/>
    </xf>
    <xf numFmtId="193" fontId="42" fillId="4" borderId="16" xfId="4" applyNumberFormat="1" applyFont="1" applyFill="1" applyBorder="1" applyAlignment="1">
      <alignment vertical="center" shrinkToFit="1"/>
    </xf>
    <xf numFmtId="188" fontId="41" fillId="0" borderId="0" xfId="4" applyNumberFormat="1" applyFont="1" applyAlignment="1">
      <alignment vertical="center"/>
    </xf>
    <xf numFmtId="188" fontId="43" fillId="0" borderId="0" xfId="4" applyNumberFormat="1" applyFont="1" applyAlignment="1">
      <alignment vertical="center"/>
    </xf>
    <xf numFmtId="188" fontId="51" fillId="0" borderId="0" xfId="0" applyNumberFormat="1" applyFont="1" applyAlignment="1">
      <alignment vertical="center"/>
    </xf>
    <xf numFmtId="188" fontId="43" fillId="0" borderId="0" xfId="4" applyNumberFormat="1" applyFont="1" applyAlignment="1">
      <alignment horizontal="center" vertical="center"/>
    </xf>
    <xf numFmtId="188" fontId="47" fillId="0" borderId="0" xfId="4" applyNumberFormat="1" applyFont="1" applyAlignment="1">
      <alignment horizontal="center" vertical="center"/>
    </xf>
    <xf numFmtId="188" fontId="41" fillId="0" borderId="0" xfId="4" applyNumberFormat="1" applyFont="1" applyAlignment="1">
      <alignment horizontal="center" vertical="center"/>
    </xf>
    <xf numFmtId="189" fontId="41" fillId="0" borderId="0" xfId="4" applyNumberFormat="1" applyFont="1" applyAlignment="1">
      <alignment vertical="center"/>
    </xf>
    <xf numFmtId="0" fontId="41" fillId="7" borderId="22" xfId="0" applyNumberFormat="1" applyFont="1" applyFill="1" applyBorder="1" applyAlignment="1">
      <alignment horizontal="centerContinuous" vertical="center"/>
    </xf>
    <xf numFmtId="0" fontId="41" fillId="7" borderId="23" xfId="0" applyNumberFormat="1" applyFont="1" applyFill="1" applyBorder="1" applyAlignment="1">
      <alignment horizontal="center" vertical="center"/>
    </xf>
    <xf numFmtId="49" fontId="41" fillId="0" borderId="24" xfId="0" applyNumberFormat="1" applyFont="1" applyBorder="1" applyAlignment="1">
      <alignment horizontal="center" vertical="center"/>
    </xf>
    <xf numFmtId="0" fontId="41" fillId="0" borderId="16" xfId="0" applyNumberFormat="1" applyFont="1" applyBorder="1" applyAlignment="1">
      <alignment horizontal="left" vertical="center"/>
    </xf>
    <xf numFmtId="0" fontId="41" fillId="0" borderId="16" xfId="0" applyNumberFormat="1" applyFont="1" applyBorder="1" applyAlignment="1">
      <alignment vertical="center"/>
    </xf>
    <xf numFmtId="3" fontId="41" fillId="0" borderId="16" xfId="1" applyNumberFormat="1" applyFont="1" applyBorder="1" applyAlignment="1">
      <alignment vertical="center"/>
    </xf>
    <xf numFmtId="41" fontId="41" fillId="0" borderId="16" xfId="1" applyNumberFormat="1" applyFont="1" applyBorder="1" applyAlignment="1">
      <alignment vertical="center"/>
    </xf>
    <xf numFmtId="0" fontId="41" fillId="0" borderId="25" xfId="0" applyNumberFormat="1" applyFont="1" applyBorder="1" applyAlignment="1">
      <alignment vertical="center"/>
    </xf>
    <xf numFmtId="0" fontId="41" fillId="0" borderId="24" xfId="0" applyNumberFormat="1" applyFont="1" applyBorder="1" applyAlignment="1">
      <alignment horizontal="right" vertical="center"/>
    </xf>
    <xf numFmtId="0" fontId="42" fillId="0" borderId="16" xfId="0" applyNumberFormat="1" applyFont="1" applyBorder="1" applyAlignment="1">
      <alignment horizontal="center" vertical="center"/>
    </xf>
    <xf numFmtId="3" fontId="41" fillId="0" borderId="16" xfId="0" applyNumberFormat="1" applyFont="1" applyBorder="1" applyAlignment="1">
      <alignment horizontal="center" vertical="center"/>
    </xf>
    <xf numFmtId="0" fontId="42" fillId="0" borderId="16" xfId="0" applyNumberFormat="1" applyFont="1" applyBorder="1" applyAlignment="1">
      <alignment vertical="center"/>
    </xf>
    <xf numFmtId="3" fontId="42" fillId="0" borderId="16" xfId="1" applyNumberFormat="1" applyFont="1" applyBorder="1" applyAlignment="1">
      <alignment vertical="center"/>
    </xf>
    <xf numFmtId="0" fontId="41" fillId="0" borderId="43" xfId="0" applyNumberFormat="1" applyFont="1" applyBorder="1" applyAlignment="1">
      <alignment horizontal="center" vertical="center"/>
    </xf>
    <xf numFmtId="0" fontId="42" fillId="0" borderId="21" xfId="0" applyNumberFormat="1" applyFont="1" applyBorder="1" applyAlignment="1">
      <alignment horizontal="center" vertical="center"/>
    </xf>
    <xf numFmtId="41" fontId="41" fillId="0" borderId="21" xfId="1" applyNumberFormat="1" applyFont="1" applyBorder="1" applyAlignment="1">
      <alignment vertical="center"/>
    </xf>
    <xf numFmtId="0" fontId="41" fillId="0" borderId="21" xfId="0" applyNumberFormat="1" applyFont="1" applyBorder="1" applyAlignment="1">
      <alignment vertical="center"/>
    </xf>
    <xf numFmtId="0" fontId="41" fillId="0" borderId="44" xfId="0" applyNumberFormat="1" applyFont="1" applyBorder="1" applyAlignment="1">
      <alignment vertical="center"/>
    </xf>
    <xf numFmtId="0" fontId="41" fillId="0" borderId="43" xfId="0" applyNumberFormat="1" applyFont="1" applyBorder="1" applyAlignment="1">
      <alignment horizontal="right" vertical="center"/>
    </xf>
    <xf numFmtId="0" fontId="41" fillId="0" borderId="54" xfId="0" applyNumberFormat="1" applyFont="1" applyBorder="1" applyAlignment="1">
      <alignment horizontal="center" vertical="center"/>
    </xf>
    <xf numFmtId="0" fontId="42" fillId="0" borderId="55" xfId="0" applyNumberFormat="1" applyFont="1" applyBorder="1" applyAlignment="1">
      <alignment horizontal="center" vertical="center"/>
    </xf>
    <xf numFmtId="0" fontId="42" fillId="0" borderId="55" xfId="0" applyNumberFormat="1" applyFont="1" applyBorder="1" applyAlignment="1">
      <alignment vertical="center"/>
    </xf>
    <xf numFmtId="3" fontId="42" fillId="0" borderId="55" xfId="1" applyNumberFormat="1" applyFont="1" applyBorder="1" applyAlignment="1">
      <alignment vertical="center"/>
    </xf>
    <xf numFmtId="41" fontId="41" fillId="0" borderId="55" xfId="1" applyNumberFormat="1" applyFont="1" applyBorder="1" applyAlignment="1">
      <alignment vertical="center"/>
    </xf>
    <xf numFmtId="0" fontId="41" fillId="0" borderId="55" xfId="0" applyNumberFormat="1" applyFont="1" applyBorder="1" applyAlignment="1">
      <alignment vertical="center"/>
    </xf>
    <xf numFmtId="0" fontId="41" fillId="0" borderId="56" xfId="0" applyNumberFormat="1" applyFont="1" applyBorder="1" applyAlignment="1">
      <alignment vertical="center"/>
    </xf>
    <xf numFmtId="0" fontId="42" fillId="7" borderId="22" xfId="0" applyNumberFormat="1" applyFont="1" applyFill="1" applyBorder="1" applyAlignment="1">
      <alignment horizontal="centerContinuous" vertical="center"/>
    </xf>
    <xf numFmtId="0" fontId="42" fillId="7" borderId="23" xfId="0" applyNumberFormat="1" applyFont="1" applyFill="1" applyBorder="1" applyAlignment="1">
      <alignment horizontal="center" vertical="center"/>
    </xf>
    <xf numFmtId="0" fontId="41" fillId="0" borderId="0" xfId="3" applyNumberFormat="1" applyFont="1" applyAlignment="1">
      <alignment horizontal="left" vertical="center"/>
    </xf>
    <xf numFmtId="0" fontId="41" fillId="0" borderId="0" xfId="3" applyNumberFormat="1" applyFont="1" applyAlignment="1">
      <alignment horizontal="center" vertical="center"/>
    </xf>
    <xf numFmtId="0" fontId="41" fillId="0" borderId="16" xfId="3" applyNumberFormat="1" applyFont="1" applyBorder="1" applyAlignment="1">
      <alignment horizontal="center" vertical="center"/>
    </xf>
    <xf numFmtId="41" fontId="41" fillId="0" borderId="16" xfId="3" applyNumberFormat="1" applyFont="1" applyFill="1" applyBorder="1" applyAlignment="1" applyProtection="1">
      <alignment horizontal="center" vertical="center"/>
    </xf>
    <xf numFmtId="0" fontId="41" fillId="0" borderId="16" xfId="3" applyNumberFormat="1" applyFont="1" applyFill="1" applyBorder="1" applyAlignment="1" applyProtection="1">
      <alignment horizontal="center" vertical="center"/>
    </xf>
    <xf numFmtId="1" fontId="41" fillId="2" borderId="16" xfId="3" applyNumberFormat="1" applyFont="1" applyFill="1" applyBorder="1" applyAlignment="1" applyProtection="1">
      <alignment horizontal="center" vertical="center"/>
    </xf>
    <xf numFmtId="179" fontId="41" fillId="2" borderId="16" xfId="3" applyNumberFormat="1" applyFont="1" applyFill="1" applyBorder="1" applyAlignment="1" applyProtection="1">
      <alignment horizontal="center" vertical="center"/>
    </xf>
    <xf numFmtId="0" fontId="41" fillId="2" borderId="16" xfId="3" applyNumberFormat="1" applyFont="1" applyFill="1" applyBorder="1" applyAlignment="1" applyProtection="1">
      <alignment horizontal="center" vertical="center"/>
    </xf>
    <xf numFmtId="41" fontId="41" fillId="0" borderId="16" xfId="3" applyNumberFormat="1" applyFont="1" applyBorder="1" applyAlignment="1">
      <alignment horizontal="center" vertical="center"/>
    </xf>
    <xf numFmtId="0" fontId="41" fillId="0" borderId="24" xfId="3" applyNumberFormat="1" applyFont="1" applyBorder="1" applyAlignment="1">
      <alignment horizontal="left" vertical="center"/>
    </xf>
    <xf numFmtId="0" fontId="41" fillId="0" borderId="25" xfId="3" applyNumberFormat="1" applyFont="1" applyBorder="1" applyAlignment="1">
      <alignment horizontal="center" vertical="center"/>
    </xf>
    <xf numFmtId="177" fontId="41" fillId="0" borderId="24" xfId="3" applyNumberFormat="1" applyFont="1" applyFill="1" applyBorder="1" applyAlignment="1" applyProtection="1">
      <alignment horizontal="left" vertical="center"/>
    </xf>
    <xf numFmtId="181" fontId="41" fillId="0" borderId="24" xfId="3" applyNumberFormat="1" applyFont="1" applyFill="1" applyBorder="1" applyAlignment="1" applyProtection="1">
      <alignment horizontal="left" vertical="center"/>
    </xf>
    <xf numFmtId="182" fontId="41" fillId="0" borderId="24" xfId="3" applyNumberFormat="1" applyFont="1" applyFill="1" applyBorder="1" applyAlignment="1" applyProtection="1">
      <alignment horizontal="left" vertical="center"/>
    </xf>
    <xf numFmtId="183" fontId="41" fillId="0" borderId="24" xfId="3" applyNumberFormat="1" applyFont="1" applyFill="1" applyBorder="1" applyAlignment="1" applyProtection="1">
      <alignment horizontal="left" vertical="center"/>
    </xf>
    <xf numFmtId="0" fontId="41" fillId="0" borderId="24" xfId="3" applyNumberFormat="1" applyFont="1" applyFill="1" applyBorder="1" applyAlignment="1" applyProtection="1">
      <alignment horizontal="left" vertical="center"/>
    </xf>
    <xf numFmtId="0" fontId="41" fillId="0" borderId="25" xfId="3" applyNumberFormat="1" applyFont="1" applyFill="1" applyBorder="1" applyAlignment="1" applyProtection="1">
      <alignment horizontal="center" vertical="center" wrapText="1"/>
    </xf>
    <xf numFmtId="0" fontId="41" fillId="0" borderId="25" xfId="3" applyNumberFormat="1" applyFont="1" applyBorder="1" applyAlignment="1">
      <alignment horizontal="center" vertical="center" wrapText="1"/>
    </xf>
    <xf numFmtId="0" fontId="41" fillId="0" borderId="54" xfId="3" applyNumberFormat="1" applyFont="1" applyBorder="1" applyAlignment="1">
      <alignment horizontal="left" vertical="center"/>
    </xf>
    <xf numFmtId="41" fontId="41" fillId="0" borderId="55" xfId="3" applyNumberFormat="1" applyFont="1" applyBorder="1" applyAlignment="1">
      <alignment horizontal="center" vertical="center"/>
    </xf>
    <xf numFmtId="0" fontId="41" fillId="0" borderId="55" xfId="3" applyNumberFormat="1" applyFont="1" applyBorder="1" applyAlignment="1">
      <alignment horizontal="center" vertical="center"/>
    </xf>
    <xf numFmtId="0" fontId="41" fillId="0" borderId="56" xfId="3" applyNumberFormat="1" applyFont="1" applyBorder="1" applyAlignment="1">
      <alignment horizontal="center" vertical="center"/>
    </xf>
    <xf numFmtId="0" fontId="42" fillId="8" borderId="49" xfId="0" applyNumberFormat="1" applyFont="1" applyFill="1" applyBorder="1" applyAlignment="1">
      <alignment horizontal="center" vertical="center"/>
    </xf>
    <xf numFmtId="41" fontId="42" fillId="8" borderId="22" xfId="7" applyNumberFormat="1" applyFont="1" applyFill="1" applyBorder="1" applyAlignment="1">
      <alignment horizontal="center" vertical="center"/>
    </xf>
    <xf numFmtId="41" fontId="42" fillId="8" borderId="47" xfId="1" applyNumberFormat="1" applyFont="1" applyFill="1" applyBorder="1">
      <alignment vertical="center"/>
    </xf>
    <xf numFmtId="0" fontId="41" fillId="0" borderId="24" xfId="0" applyNumberFormat="1" applyFont="1" applyBorder="1" applyAlignment="1">
      <alignment horizontal="center" vertical="center"/>
    </xf>
    <xf numFmtId="41" fontId="41" fillId="0" borderId="25" xfId="1" applyNumberFormat="1" applyFont="1" applyFill="1" applyBorder="1">
      <alignment vertical="center"/>
    </xf>
    <xf numFmtId="41" fontId="41" fillId="0" borderId="25" xfId="7" applyNumberFormat="1" applyFont="1" applyFill="1" applyBorder="1" applyAlignment="1">
      <alignment horizontal="center" vertical="center"/>
    </xf>
    <xf numFmtId="41" fontId="41" fillId="0" borderId="55" xfId="7" applyNumberFormat="1" applyFont="1" applyFill="1" applyBorder="1" applyAlignment="1">
      <alignment horizontal="center" vertical="center"/>
    </xf>
    <xf numFmtId="41" fontId="41" fillId="0" borderId="56" xfId="7" applyNumberFormat="1" applyFont="1" applyFill="1" applyBorder="1" applyAlignment="1">
      <alignment horizontal="center" vertical="center"/>
    </xf>
    <xf numFmtId="0" fontId="42" fillId="0" borderId="49" xfId="0" applyNumberFormat="1" applyFont="1" applyBorder="1" applyAlignment="1">
      <alignment horizontal="center" vertical="center"/>
    </xf>
    <xf numFmtId="41" fontId="42" fillId="0" borderId="22" xfId="7" applyNumberFormat="1" applyFont="1" applyBorder="1" applyAlignment="1">
      <alignment horizontal="center" vertical="center"/>
    </xf>
    <xf numFmtId="0" fontId="42" fillId="0" borderId="22" xfId="9" applyNumberFormat="1" applyFont="1" applyFill="1" applyBorder="1" applyAlignment="1">
      <alignment horizontal="center" vertical="center"/>
    </xf>
    <xf numFmtId="0" fontId="42" fillId="0" borderId="47" xfId="9" applyNumberFormat="1" applyFont="1" applyFill="1" applyBorder="1" applyAlignment="1">
      <alignment horizontal="center" vertical="center"/>
    </xf>
    <xf numFmtId="41" fontId="41" fillId="0" borderId="55" xfId="7" applyNumberFormat="1" applyFont="1" applyBorder="1" applyAlignment="1">
      <alignment horizontal="center" vertical="center"/>
    </xf>
    <xf numFmtId="198" fontId="41" fillId="0" borderId="55" xfId="0" applyNumberFormat="1" applyFont="1" applyFill="1" applyBorder="1" applyAlignment="1">
      <alignment horizontal="center" vertical="center"/>
    </xf>
    <xf numFmtId="198" fontId="41" fillId="0" borderId="56" xfId="0" applyNumberFormat="1" applyFont="1" applyFill="1" applyBorder="1" applyAlignment="1">
      <alignment horizontal="center" vertical="center"/>
    </xf>
    <xf numFmtId="41" fontId="41" fillId="0" borderId="29" xfId="7" applyNumberFormat="1" applyFont="1" applyBorder="1" applyAlignment="1">
      <alignment horizontal="center" vertical="center"/>
    </xf>
    <xf numFmtId="198" fontId="41" fillId="0" borderId="29" xfId="0" applyNumberFormat="1" applyFont="1" applyFill="1" applyBorder="1" applyAlignment="1">
      <alignment horizontal="center" vertical="center"/>
    </xf>
    <xf numFmtId="0" fontId="41" fillId="0" borderId="57" xfId="0" applyNumberFormat="1" applyFont="1" applyBorder="1" applyAlignment="1">
      <alignment horizontal="center" vertical="center"/>
    </xf>
    <xf numFmtId="41" fontId="41" fillId="0" borderId="58" xfId="7" applyNumberFormat="1" applyFont="1" applyBorder="1" applyAlignment="1">
      <alignment horizontal="center" vertical="center"/>
    </xf>
    <xf numFmtId="0" fontId="41" fillId="0" borderId="52" xfId="0" applyNumberFormat="1" applyFont="1" applyBorder="1" applyAlignment="1">
      <alignment horizontal="center" vertical="center"/>
    </xf>
    <xf numFmtId="41" fontId="41" fillId="0" borderId="53" xfId="7" applyNumberFormat="1" applyFont="1" applyFill="1" applyBorder="1" applyAlignment="1">
      <alignment horizontal="center" vertical="center"/>
    </xf>
    <xf numFmtId="41" fontId="41" fillId="0" borderId="59" xfId="7" applyNumberFormat="1" applyFont="1" applyBorder="1" applyAlignment="1">
      <alignment horizontal="center" vertical="center"/>
    </xf>
    <xf numFmtId="41" fontId="41" fillId="0" borderId="60" xfId="7" applyNumberFormat="1" applyFont="1" applyFill="1" applyBorder="1" applyAlignment="1">
      <alignment horizontal="center" vertical="center"/>
    </xf>
    <xf numFmtId="0" fontId="41" fillId="0" borderId="16" xfId="3" applyNumberFormat="1" applyFont="1" applyFill="1" applyBorder="1" applyAlignment="1" applyProtection="1">
      <alignment vertical="center"/>
    </xf>
    <xf numFmtId="0" fontId="42" fillId="8" borderId="61" xfId="3" applyNumberFormat="1" applyFont="1" applyFill="1" applyBorder="1" applyAlignment="1">
      <alignment horizontal="center" vertical="center"/>
    </xf>
    <xf numFmtId="0" fontId="42" fillId="8" borderId="26" xfId="3" applyNumberFormat="1" applyFont="1" applyFill="1" applyBorder="1" applyAlignment="1">
      <alignment horizontal="center" vertical="center"/>
    </xf>
    <xf numFmtId="0" fontId="42" fillId="8" borderId="26" xfId="3" applyNumberFormat="1" applyFont="1" applyFill="1" applyBorder="1" applyAlignment="1">
      <alignment horizontal="center" vertical="center" wrapText="1"/>
    </xf>
    <xf numFmtId="0" fontId="42" fillId="8" borderId="62" xfId="3" applyNumberFormat="1" applyFont="1" applyFill="1" applyBorder="1" applyAlignment="1">
      <alignment horizontal="center" vertical="center"/>
    </xf>
    <xf numFmtId="0" fontId="41" fillId="0" borderId="47" xfId="3" applyNumberFormat="1" applyFont="1" applyBorder="1" applyAlignment="1">
      <alignment horizontal="center" vertical="center" wrapText="1"/>
    </xf>
    <xf numFmtId="0" fontId="41" fillId="0" borderId="47" xfId="3" applyNumberFormat="1" applyFont="1" applyBorder="1" applyAlignment="1">
      <alignment horizontal="center" vertical="center"/>
    </xf>
    <xf numFmtId="0" fontId="41" fillId="0" borderId="66" xfId="3" applyNumberFormat="1" applyFont="1" applyBorder="1" applyAlignment="1">
      <alignment horizontal="left" vertical="center"/>
    </xf>
    <xf numFmtId="41" fontId="41" fillId="0" borderId="67" xfId="3" applyNumberFormat="1" applyFont="1" applyBorder="1" applyAlignment="1">
      <alignment horizontal="center" vertical="center"/>
    </xf>
    <xf numFmtId="0" fontId="41" fillId="0" borderId="67" xfId="3" applyNumberFormat="1" applyFont="1" applyBorder="1" applyAlignment="1">
      <alignment horizontal="center" vertical="center"/>
    </xf>
    <xf numFmtId="0" fontId="41" fillId="0" borderId="49" xfId="3" applyNumberFormat="1" applyFont="1" applyFill="1" applyBorder="1" applyAlignment="1" applyProtection="1">
      <alignment horizontal="left" vertical="center"/>
    </xf>
    <xf numFmtId="41" fontId="41" fillId="0" borderId="22" xfId="3" applyNumberFormat="1" applyFont="1" applyFill="1" applyBorder="1" applyAlignment="1" applyProtection="1">
      <alignment horizontal="center" vertical="center"/>
    </xf>
    <xf numFmtId="0" fontId="41" fillId="0" borderId="22" xfId="3" applyNumberFormat="1" applyFont="1" applyFill="1" applyBorder="1" applyAlignment="1" applyProtection="1">
      <alignment horizontal="center" vertical="center"/>
    </xf>
    <xf numFmtId="0" fontId="41" fillId="0" borderId="54" xfId="3" applyNumberFormat="1" applyFont="1" applyFill="1" applyBorder="1" applyAlignment="1" applyProtection="1">
      <alignment horizontal="left" vertical="center"/>
    </xf>
    <xf numFmtId="41" fontId="41" fillId="0" borderId="55" xfId="3" applyNumberFormat="1" applyFont="1" applyFill="1" applyBorder="1" applyAlignment="1" applyProtection="1">
      <alignment horizontal="center" vertical="center"/>
    </xf>
    <xf numFmtId="0" fontId="41" fillId="0" borderId="55" xfId="3" applyNumberFormat="1" applyFont="1" applyFill="1" applyBorder="1" applyAlignment="1" applyProtection="1">
      <alignment horizontal="center" vertical="center"/>
    </xf>
    <xf numFmtId="0" fontId="41" fillId="0" borderId="56" xfId="3" applyNumberFormat="1" applyFont="1" applyFill="1" applyBorder="1" applyAlignment="1" applyProtection="1">
      <alignment vertical="center" wrapText="1"/>
    </xf>
    <xf numFmtId="0" fontId="26" fillId="0" borderId="0" xfId="0" applyNumberFormat="1" applyFont="1" applyBorder="1" applyAlignment="1">
      <alignment horizontal="center" vertical="center"/>
    </xf>
    <xf numFmtId="0" fontId="27" fillId="0" borderId="0" xfId="6" applyNumberFormat="1" applyFont="1" applyBorder="1" applyAlignment="1">
      <alignment horizontal="distributed" vertical="center" wrapText="1" shrinkToFit="1"/>
    </xf>
    <xf numFmtId="0" fontId="27" fillId="0" borderId="39" xfId="6" applyNumberFormat="1" applyFont="1" applyBorder="1" applyAlignment="1">
      <alignment horizontal="distributed" vertical="center" wrapText="1" shrinkToFit="1"/>
    </xf>
    <xf numFmtId="0" fontId="28" fillId="0" borderId="38" xfId="6" applyNumberFormat="1" applyFont="1" applyBorder="1" applyAlignment="1">
      <alignment horizontal="center" vertical="center" shrinkToFit="1"/>
    </xf>
    <xf numFmtId="0" fontId="28" fillId="0" borderId="0" xfId="6" applyNumberFormat="1" applyFont="1" applyBorder="1" applyAlignment="1">
      <alignment horizontal="center" vertical="center" shrinkToFit="1"/>
    </xf>
    <xf numFmtId="0" fontId="28" fillId="0" borderId="39" xfId="6" applyNumberFormat="1" applyFont="1" applyBorder="1" applyAlignment="1">
      <alignment horizontal="center" vertical="center" shrinkToFit="1"/>
    </xf>
    <xf numFmtId="0" fontId="24" fillId="0" borderId="38" xfId="6" applyNumberFormat="1" applyFont="1" applyBorder="1" applyAlignment="1">
      <alignment horizontal="center" vertical="center"/>
    </xf>
    <xf numFmtId="0" fontId="24" fillId="0" borderId="0" xfId="6" applyNumberFormat="1" applyFont="1" applyBorder="1" applyAlignment="1">
      <alignment horizontal="center" vertical="center"/>
    </xf>
    <xf numFmtId="0" fontId="24" fillId="0" borderId="39" xfId="6" applyNumberFormat="1" applyFont="1" applyBorder="1" applyAlignment="1">
      <alignment horizontal="center" vertical="center"/>
    </xf>
    <xf numFmtId="0" fontId="25" fillId="0" borderId="38" xfId="6" applyNumberFormat="1" applyFont="1" applyBorder="1" applyAlignment="1">
      <alignment horizontal="center" vertical="center"/>
    </xf>
    <xf numFmtId="0" fontId="25" fillId="0" borderId="0" xfId="6" applyNumberFormat="1" applyFont="1" applyBorder="1" applyAlignment="1">
      <alignment horizontal="center" vertical="center"/>
    </xf>
    <xf numFmtId="0" fontId="25" fillId="0" borderId="39" xfId="6" applyNumberFormat="1" applyFont="1" applyBorder="1" applyAlignment="1">
      <alignment horizontal="center" vertical="center"/>
    </xf>
    <xf numFmtId="0" fontId="18" fillId="0" borderId="0" xfId="0" applyNumberFormat="1" applyFont="1" applyBorder="1" applyAlignment="1">
      <alignment horizontal="distributed" vertical="center" wrapText="1"/>
    </xf>
    <xf numFmtId="195" fontId="17" fillId="0" borderId="0" xfId="1" applyNumberFormat="1" applyFont="1" applyBorder="1" applyAlignment="1">
      <alignment horizontal="left" vertical="center"/>
    </xf>
    <xf numFmtId="195" fontId="17" fillId="0" borderId="31" xfId="1" applyNumberFormat="1" applyFont="1" applyBorder="1" applyAlignment="1">
      <alignment horizontal="left" vertical="center"/>
    </xf>
    <xf numFmtId="0" fontId="17" fillId="0" borderId="0" xfId="0" applyNumberFormat="1" applyFont="1" applyBorder="1" applyAlignment="1">
      <alignment horizontal="distributed" vertical="center" wrapText="1"/>
    </xf>
    <xf numFmtId="194" fontId="17" fillId="0" borderId="0" xfId="1" applyNumberFormat="1" applyFont="1" applyBorder="1" applyAlignment="1">
      <alignment horizontal="left" vertical="center"/>
    </xf>
    <xf numFmtId="194" fontId="17" fillId="0" borderId="0" xfId="0" applyNumberFormat="1" applyFont="1" applyBorder="1" applyAlignment="1">
      <alignment horizontal="left" vertical="center"/>
    </xf>
    <xf numFmtId="0" fontId="42" fillId="7" borderId="22" xfId="0" applyNumberFormat="1" applyFont="1" applyFill="1" applyBorder="1" applyAlignment="1">
      <alignment horizontal="center" vertical="center"/>
    </xf>
    <xf numFmtId="0" fontId="42" fillId="7" borderId="23" xfId="0" applyNumberFormat="1" applyFont="1" applyFill="1" applyBorder="1" applyAlignment="1">
      <alignment horizontal="center" vertical="center"/>
    </xf>
    <xf numFmtId="0" fontId="41" fillId="7" borderId="47" xfId="0" applyNumberFormat="1" applyFont="1" applyFill="1" applyBorder="1" applyAlignment="1">
      <alignment horizontal="center" vertical="center"/>
    </xf>
    <xf numFmtId="0" fontId="41" fillId="7" borderId="48" xfId="0" applyNumberFormat="1" applyFont="1" applyFill="1" applyBorder="1" applyAlignment="1">
      <alignment horizontal="center" vertical="center"/>
    </xf>
    <xf numFmtId="0" fontId="42" fillId="7" borderId="49" xfId="0" applyNumberFormat="1" applyFont="1" applyFill="1" applyBorder="1" applyAlignment="1">
      <alignment horizontal="center" vertical="center"/>
    </xf>
    <xf numFmtId="0" fontId="42" fillId="7" borderId="50" xfId="0" applyNumberFormat="1" applyFont="1" applyFill="1" applyBorder="1" applyAlignment="1">
      <alignment horizontal="center" vertical="center"/>
    </xf>
    <xf numFmtId="0" fontId="40" fillId="0" borderId="0" xfId="0" applyNumberFormat="1" applyFont="1" applyBorder="1" applyAlignment="1">
      <alignment horizontal="center" vertical="center" wrapText="1"/>
    </xf>
    <xf numFmtId="0" fontId="9" fillId="0" borderId="0" xfId="0" applyNumberFormat="1" applyFont="1" applyAlignment="1">
      <alignment horizontal="left" vertical="center"/>
    </xf>
    <xf numFmtId="0" fontId="9" fillId="0" borderId="20" xfId="0" applyNumberFormat="1" applyFont="1" applyBorder="1" applyAlignment="1">
      <alignment horizontal="left" vertical="center"/>
    </xf>
    <xf numFmtId="188" fontId="38" fillId="8" borderId="45" xfId="4" applyNumberFormat="1" applyFont="1" applyFill="1" applyBorder="1" applyAlignment="1">
      <alignment horizontal="left" vertical="center"/>
    </xf>
    <xf numFmtId="188" fontId="38" fillId="8" borderId="17" xfId="4" applyNumberFormat="1" applyFont="1" applyFill="1" applyBorder="1" applyAlignment="1">
      <alignment horizontal="left" vertical="center"/>
    </xf>
    <xf numFmtId="188" fontId="38" fillId="8" borderId="18" xfId="4" applyNumberFormat="1" applyFont="1" applyFill="1" applyBorder="1" applyAlignment="1">
      <alignment horizontal="left" vertical="center"/>
    </xf>
    <xf numFmtId="188" fontId="44" fillId="0" borderId="16" xfId="4" applyNumberFormat="1" applyFont="1" applyBorder="1" applyAlignment="1">
      <alignment horizontal="center" vertical="center" wrapText="1"/>
    </xf>
    <xf numFmtId="188" fontId="42" fillId="0" borderId="16" xfId="4" applyNumberFormat="1" applyFont="1" applyBorder="1" applyAlignment="1">
      <alignment horizontal="left" vertical="center"/>
    </xf>
    <xf numFmtId="188" fontId="41" fillId="0" borderId="16" xfId="4" applyNumberFormat="1" applyFont="1" applyBorder="1" applyAlignment="1">
      <alignment horizontal="left" vertical="center"/>
    </xf>
    <xf numFmtId="188" fontId="43" fillId="0" borderId="16" xfId="4" applyNumberFormat="1" applyFont="1" applyBorder="1" applyAlignment="1">
      <alignment horizontal="left" vertical="center"/>
    </xf>
    <xf numFmtId="41" fontId="45" fillId="3" borderId="16" xfId="1" applyNumberFormat="1" applyFont="1" applyFill="1" applyBorder="1" applyAlignment="1">
      <alignment horizontal="center" vertical="center"/>
    </xf>
    <xf numFmtId="41" fontId="43" fillId="0" borderId="45" xfId="1" applyNumberFormat="1" applyFont="1" applyFill="1" applyBorder="1" applyAlignment="1">
      <alignment horizontal="left" vertical="center"/>
    </xf>
    <xf numFmtId="41" fontId="43" fillId="0" borderId="17" xfId="1" applyNumberFormat="1" applyFont="1" applyFill="1" applyBorder="1" applyAlignment="1">
      <alignment horizontal="left" vertical="center"/>
    </xf>
    <xf numFmtId="41" fontId="43" fillId="0" borderId="18" xfId="1" applyNumberFormat="1" applyFont="1" applyFill="1" applyBorder="1" applyAlignment="1">
      <alignment horizontal="left" vertical="center"/>
    </xf>
    <xf numFmtId="41" fontId="43" fillId="0" borderId="45" xfId="1" applyNumberFormat="1" applyFont="1" applyBorder="1" applyAlignment="1">
      <alignment horizontal="center" vertical="center"/>
    </xf>
    <xf numFmtId="41" fontId="43" fillId="0" borderId="17" xfId="1" applyNumberFormat="1" applyFont="1" applyBorder="1" applyAlignment="1">
      <alignment horizontal="center" vertical="center"/>
    </xf>
    <xf numFmtId="41" fontId="43" fillId="0" borderId="18" xfId="1" applyNumberFormat="1" applyFont="1" applyBorder="1" applyAlignment="1">
      <alignment horizontal="center" vertical="center"/>
    </xf>
    <xf numFmtId="179" fontId="43" fillId="0" borderId="45" xfId="4" applyNumberFormat="1" applyFont="1" applyBorder="1" applyAlignment="1">
      <alignment horizontal="center" vertical="center"/>
    </xf>
    <xf numFmtId="179" fontId="43" fillId="0" borderId="18" xfId="4" applyNumberFormat="1" applyFont="1" applyBorder="1" applyAlignment="1">
      <alignment horizontal="center" vertical="center"/>
    </xf>
    <xf numFmtId="188" fontId="44" fillId="0" borderId="21" xfId="4" applyNumberFormat="1" applyFont="1" applyBorder="1" applyAlignment="1">
      <alignment horizontal="center" vertical="center"/>
    </xf>
    <xf numFmtId="188" fontId="44" fillId="0" borderId="28" xfId="4" applyNumberFormat="1" applyFont="1" applyBorder="1" applyAlignment="1">
      <alignment horizontal="center" vertical="center"/>
    </xf>
    <xf numFmtId="188" fontId="44" fillId="0" borderId="29" xfId="4" applyNumberFormat="1" applyFont="1" applyBorder="1" applyAlignment="1">
      <alignment horizontal="center" vertical="center"/>
    </xf>
    <xf numFmtId="188" fontId="42" fillId="0" borderId="16" xfId="4" applyNumberFormat="1" applyFont="1" applyBorder="1" applyAlignment="1">
      <alignment horizontal="left" vertical="center" shrinkToFit="1"/>
    </xf>
    <xf numFmtId="188" fontId="41" fillId="0" borderId="16" xfId="4" applyNumberFormat="1" applyFont="1" applyBorder="1" applyAlignment="1">
      <alignment horizontal="left" vertical="center" shrinkToFit="1"/>
    </xf>
    <xf numFmtId="188" fontId="43" fillId="0" borderId="16" xfId="4" applyNumberFormat="1" applyFont="1" applyBorder="1" applyAlignment="1">
      <alignment horizontal="center" vertical="center" shrinkToFit="1"/>
    </xf>
    <xf numFmtId="41" fontId="41" fillId="0" borderId="16" xfId="5" applyNumberFormat="1" applyFont="1" applyFill="1" applyBorder="1" applyAlignment="1">
      <alignment horizontal="center" vertical="center"/>
    </xf>
    <xf numFmtId="188" fontId="43" fillId="0" borderId="45" xfId="4" applyNumberFormat="1" applyFont="1" applyBorder="1" applyAlignment="1">
      <alignment horizontal="center" vertical="center" shrinkToFit="1"/>
    </xf>
    <xf numFmtId="188" fontId="43" fillId="0" borderId="17" xfId="4" applyNumberFormat="1" applyFont="1" applyBorder="1" applyAlignment="1">
      <alignment horizontal="center" vertical="center" shrinkToFit="1"/>
    </xf>
    <xf numFmtId="188" fontId="43" fillId="0" borderId="18" xfId="4" applyNumberFormat="1" applyFont="1" applyBorder="1" applyAlignment="1">
      <alignment horizontal="center" vertical="center" shrinkToFit="1"/>
    </xf>
    <xf numFmtId="188" fontId="44" fillId="0" borderId="16" xfId="4" applyNumberFormat="1" applyFont="1" applyBorder="1" applyAlignment="1">
      <alignment horizontal="center" vertical="center"/>
    </xf>
    <xf numFmtId="188" fontId="42" fillId="0" borderId="16" xfId="4" applyNumberFormat="1" applyFont="1" applyFill="1" applyBorder="1" applyAlignment="1">
      <alignment horizontal="center" vertical="center"/>
    </xf>
    <xf numFmtId="188" fontId="41" fillId="0" borderId="16" xfId="4" applyNumberFormat="1" applyFont="1" applyFill="1" applyBorder="1" applyAlignment="1">
      <alignment horizontal="center" vertical="center"/>
    </xf>
    <xf numFmtId="188" fontId="44" fillId="0" borderId="16" xfId="4" applyNumberFormat="1" applyFont="1" applyFill="1" applyBorder="1" applyAlignment="1">
      <alignment horizontal="center" vertical="center"/>
    </xf>
    <xf numFmtId="187" fontId="41" fillId="0" borderId="16" xfId="4" applyNumberFormat="1" applyFont="1" applyFill="1" applyBorder="1" applyAlignment="1">
      <alignment horizontal="left" vertical="center"/>
    </xf>
    <xf numFmtId="0" fontId="30" fillId="0" borderId="0" xfId="2" applyNumberFormat="1" applyFont="1" applyAlignment="1">
      <alignment horizontal="center" vertical="center"/>
    </xf>
    <xf numFmtId="0" fontId="39" fillId="0" borderId="0" xfId="0" applyNumberFormat="1" applyFont="1" applyAlignment="1">
      <alignment horizontal="left" vertical="center"/>
    </xf>
    <xf numFmtId="0" fontId="41" fillId="0" borderId="17" xfId="0" applyNumberFormat="1" applyFont="1" applyBorder="1" applyAlignment="1">
      <alignment horizontal="center" vertical="center"/>
    </xf>
    <xf numFmtId="0" fontId="41" fillId="0" borderId="18" xfId="0" applyNumberFormat="1" applyFont="1" applyBorder="1" applyAlignment="1">
      <alignment horizontal="center" vertical="center"/>
    </xf>
    <xf numFmtId="0" fontId="41" fillId="0" borderId="0" xfId="0" applyNumberFormat="1" applyFont="1" applyAlignment="1">
      <alignment horizontal="left" vertical="center" wrapText="1"/>
    </xf>
    <xf numFmtId="0" fontId="21" fillId="0" borderId="16" xfId="0" applyNumberFormat="1" applyFont="1" applyBorder="1" applyAlignment="1">
      <alignment horizontal="center" vertical="center" wrapText="1"/>
    </xf>
    <xf numFmtId="0" fontId="21" fillId="0" borderId="16" xfId="0" applyNumberFormat="1" applyFont="1" applyBorder="1" applyAlignment="1">
      <alignment horizontal="center" vertical="center"/>
    </xf>
    <xf numFmtId="0" fontId="23" fillId="0" borderId="0" xfId="0" applyNumberFormat="1" applyFont="1" applyAlignment="1">
      <alignment horizontal="center" vertical="center"/>
    </xf>
    <xf numFmtId="0" fontId="0" fillId="0" borderId="20" xfId="0" applyNumberFormat="1" applyFont="1" applyBorder="1" applyAlignment="1">
      <alignment horizontal="right" vertical="center"/>
    </xf>
    <xf numFmtId="0" fontId="41" fillId="0" borderId="58" xfId="3" applyNumberFormat="1" applyFont="1" applyFill="1" applyBorder="1" applyAlignment="1" applyProtection="1">
      <alignment horizontal="center" vertical="center"/>
    </xf>
    <xf numFmtId="0" fontId="41" fillId="0" borderId="59" xfId="3" applyNumberFormat="1" applyFont="1" applyFill="1" applyBorder="1" applyAlignment="1" applyProtection="1">
      <alignment horizontal="center" vertical="center"/>
    </xf>
    <xf numFmtId="0" fontId="41" fillId="0" borderId="53" xfId="3" applyNumberFormat="1" applyFont="1" applyFill="1" applyBorder="1" applyAlignment="1" applyProtection="1">
      <alignment horizontal="center" vertical="center"/>
    </xf>
    <xf numFmtId="0" fontId="41" fillId="0" borderId="24" xfId="3" applyNumberFormat="1" applyFont="1" applyFill="1" applyBorder="1" applyAlignment="1" applyProtection="1">
      <alignment horizontal="left" vertical="center"/>
    </xf>
    <xf numFmtId="0" fontId="39" fillId="0" borderId="0" xfId="3" applyNumberFormat="1" applyFont="1" applyFill="1" applyBorder="1" applyAlignment="1" applyProtection="1">
      <alignment horizontal="left" vertical="center"/>
    </xf>
    <xf numFmtId="0" fontId="41" fillId="0" borderId="63" xfId="3" applyNumberFormat="1" applyFont="1" applyBorder="1" applyAlignment="1">
      <alignment horizontal="left" vertical="center"/>
    </xf>
    <xf numFmtId="0" fontId="41" fillId="0" borderId="64" xfId="3" applyNumberFormat="1" applyFont="1" applyBorder="1" applyAlignment="1">
      <alignment horizontal="left" vertical="center"/>
    </xf>
    <xf numFmtId="0" fontId="41" fillId="0" borderId="65" xfId="3" applyNumberFormat="1" applyFont="1" applyBorder="1" applyAlignment="1">
      <alignment horizontal="left" vertical="center"/>
    </xf>
    <xf numFmtId="0" fontId="42" fillId="8" borderId="26" xfId="3" applyNumberFormat="1" applyFont="1" applyFill="1" applyBorder="1" applyAlignment="1" applyProtection="1">
      <alignment horizontal="center" vertical="center"/>
    </xf>
    <xf numFmtId="0" fontId="41" fillId="0" borderId="24" xfId="3" applyNumberFormat="1" applyFont="1" applyFill="1" applyBorder="1" applyAlignment="1" applyProtection="1">
      <alignment horizontal="left" vertical="center" wrapText="1"/>
    </xf>
    <xf numFmtId="41" fontId="41" fillId="0" borderId="16" xfId="3" applyNumberFormat="1" applyFont="1" applyFill="1" applyBorder="1" applyAlignment="1" applyProtection="1">
      <alignment horizontal="right" vertical="center"/>
    </xf>
    <xf numFmtId="178" fontId="41" fillId="0" borderId="16" xfId="3" applyNumberFormat="1" applyFont="1" applyFill="1" applyBorder="1" applyAlignment="1" applyProtection="1">
      <alignment horizontal="right" vertical="center"/>
    </xf>
    <xf numFmtId="0" fontId="41" fillId="0" borderId="16" xfId="3" applyNumberFormat="1" applyFont="1" applyFill="1" applyBorder="1" applyAlignment="1" applyProtection="1">
      <alignment horizontal="center" vertical="center"/>
    </xf>
    <xf numFmtId="180" fontId="41" fillId="2" borderId="16" xfId="3" applyNumberFormat="1" applyFont="1" applyFill="1" applyBorder="1" applyAlignment="1" applyProtection="1">
      <alignment horizontal="center" vertical="center"/>
    </xf>
    <xf numFmtId="0" fontId="41" fillId="0" borderId="55" xfId="3" applyNumberFormat="1" applyFont="1" applyFill="1" applyBorder="1" applyAlignment="1" applyProtection="1">
      <alignment horizontal="left" vertical="center"/>
    </xf>
    <xf numFmtId="0" fontId="37" fillId="0" borderId="16" xfId="3" applyNumberFormat="1" applyFont="1" applyFill="1" applyBorder="1" applyAlignment="1" applyProtection="1">
      <alignment horizontal="center" vertical="center"/>
    </xf>
    <xf numFmtId="0" fontId="37" fillId="0" borderId="16" xfId="3" applyNumberFormat="1" applyFont="1" applyFill="1" applyBorder="1" applyAlignment="1" applyProtection="1">
      <alignment horizontal="center" vertical="center" wrapText="1"/>
    </xf>
    <xf numFmtId="0" fontId="37" fillId="0" borderId="16" xfId="3" applyNumberFormat="1" applyFont="1" applyFill="1" applyBorder="1" applyAlignment="1" applyProtection="1">
      <alignment horizontal="left" vertical="center" indent="1"/>
      <protection locked="0"/>
    </xf>
    <xf numFmtId="0" fontId="41" fillId="0" borderId="25" xfId="3" applyNumberFormat="1" applyFont="1" applyFill="1" applyBorder="1" applyAlignment="1" applyProtection="1">
      <alignment horizontal="center" vertical="center" wrapText="1"/>
    </xf>
    <xf numFmtId="0" fontId="41" fillId="0" borderId="55" xfId="3" applyNumberFormat="1" applyFont="1" applyFill="1" applyBorder="1" applyAlignment="1" applyProtection="1">
      <alignment horizontal="center" vertical="center"/>
    </xf>
    <xf numFmtId="178" fontId="41" fillId="0" borderId="16" xfId="3" applyNumberFormat="1" applyFont="1" applyFill="1" applyBorder="1" applyAlignment="1" applyProtection="1">
      <alignment horizontal="center" vertical="center"/>
    </xf>
    <xf numFmtId="0" fontId="41" fillId="0" borderId="16" xfId="3" applyNumberFormat="1" applyFont="1" applyFill="1" applyBorder="1" applyAlignment="1" applyProtection="1">
      <alignment horizontal="left" vertical="center"/>
    </xf>
    <xf numFmtId="0" fontId="41" fillId="0" borderId="16" xfId="3" applyNumberFormat="1" applyFont="1" applyFill="1" applyBorder="1" applyAlignment="1" applyProtection="1">
      <alignment vertical="center"/>
    </xf>
    <xf numFmtId="41" fontId="41" fillId="0" borderId="16" xfId="3" applyNumberFormat="1" applyFont="1" applyFill="1" applyBorder="1" applyAlignment="1" applyProtection="1">
      <alignment horizontal="center" vertical="center"/>
    </xf>
    <xf numFmtId="184" fontId="41" fillId="0" borderId="16" xfId="3" applyNumberFormat="1" applyFont="1" applyFill="1" applyBorder="1" applyAlignment="1" applyProtection="1">
      <alignment horizontal="center" vertical="center"/>
    </xf>
    <xf numFmtId="0" fontId="41" fillId="0" borderId="47" xfId="3" applyNumberFormat="1" applyFont="1" applyFill="1" applyBorder="1" applyAlignment="1" applyProtection="1">
      <alignment horizontal="center" vertical="center" wrapText="1"/>
    </xf>
    <xf numFmtId="0" fontId="41" fillId="0" borderId="25" xfId="3" applyNumberFormat="1" applyFont="1" applyFill="1" applyBorder="1" applyAlignment="1" applyProtection="1">
      <alignment horizontal="center" vertical="center"/>
    </xf>
    <xf numFmtId="0" fontId="41" fillId="0" borderId="22" xfId="3" applyNumberFormat="1" applyFont="1" applyFill="1" applyBorder="1" applyAlignment="1" applyProtection="1">
      <alignment horizontal="left" vertical="center"/>
    </xf>
  </cellXfs>
  <cellStyles count="11">
    <cellStyle name="Normal" xfId="3" xr:uid="{00000000-0005-0000-0000-000003000000}"/>
    <cellStyle name="쉼표 [0]" xfId="1" builtinId="6"/>
    <cellStyle name="쉼표 [0] 24" xfId="7" xr:uid="{00000000-0005-0000-0000-000007000000}"/>
    <cellStyle name="쉼표 [0]_육군3사관학교 측량대가" xfId="5" xr:uid="{00000000-0005-0000-0000-000005000000}"/>
    <cellStyle name="표준" xfId="0" builtinId="0"/>
    <cellStyle name="표준 12" xfId="9" xr:uid="{00000000-0005-0000-0000-000009000000}"/>
    <cellStyle name="표준 2" xfId="2" xr:uid="{00000000-0005-0000-0000-000002000000}"/>
    <cellStyle name="표준_'09s년 시설사업 현황측량(최종전)_설계용역비 산출내역서 110629" xfId="4" xr:uid="{00000000-0005-0000-0000-000004000000}"/>
    <cellStyle name="표준_120221 설계용역 산출내역서" xfId="8" xr:uid="{00000000-0005-0000-0000-000008000000}"/>
    <cellStyle name="표준_덕림천설계내역서" xfId="6" xr:uid="{00000000-0005-0000-0000-000006000000}"/>
    <cellStyle name="표준_손해배상보험" xfId="10" xr:uid="{00000000-0005-0000-0000-00000A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1714500</xdr:colOff>
      <xdr:row>25</xdr:row>
      <xdr:rowOff>304800</xdr:rowOff>
    </xdr:from>
    <xdr:to>
      <xdr:col>3</xdr:col>
      <xdr:colOff>209550</xdr:colOff>
      <xdr:row>27</xdr:row>
      <xdr:rowOff>38100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alphaModFix/>
        </a:blip>
        <a:srcRect/>
        <a:stretch>
          <a:fillRect/>
        </a:stretch>
      </xdr:blipFill>
      <xdr:spPr>
        <a:xfrm>
          <a:off x="2514600" y="16449675"/>
          <a:ext cx="714375" cy="638175"/>
        </a:xfrm>
        <a:prstGeom prst="rect">
          <a:avLst/>
        </a:prstGeom>
        <a:noFill/>
        <a:ln w="9525" cap="flat" cmpd="sng">
          <a:noFill/>
          <a:prstDash val="solid"/>
          <a:miter/>
          <a:headEnd w="med" len="med"/>
          <a:tailEnd w="med" len="med"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20</xdr:col>
      <xdr:colOff>438150</xdr:colOff>
      <xdr:row>18</xdr:row>
      <xdr:rowOff>9525</xdr:rowOff>
    </xdr:from>
    <xdr:to>
      <xdr:col>26</xdr:col>
      <xdr:colOff>542925</xdr:colOff>
      <xdr:row>45</xdr:row>
      <xdr:rowOff>152400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alphaModFix/>
        </a:blip>
        <a:srcRect/>
        <a:stretch>
          <a:fillRect/>
        </a:stretch>
      </xdr:blipFill>
      <xdr:spPr>
        <a:xfrm>
          <a:off x="11563349" y="3571875"/>
          <a:ext cx="4162425" cy="5800725"/>
        </a:xfrm>
        <a:prstGeom prst="rect">
          <a:avLst/>
        </a:prstGeom>
        <a:noFill/>
        <a:ln w="9525" cap="flat" cmpd="sng">
          <a:noFill/>
          <a:prstDash val="solid"/>
          <a:miter/>
          <a:headEnd w="med" len="med"/>
          <a:tailEnd w="med" len="med"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M29"/>
  <sheetViews>
    <sheetView tabSelected="1" view="pageBreakPreview" zoomScaleNormal="100" zoomScaleSheetLayoutView="100" workbookViewId="0">
      <selection activeCell="B9" sqref="B9:O9"/>
    </sheetView>
  </sheetViews>
  <sheetFormatPr defaultColWidth="8.875" defaultRowHeight="18" customHeight="1"/>
  <cols>
    <col min="1" max="1" width="10.5" style="2" customWidth="1"/>
    <col min="2" max="2" width="22.75" style="2" customWidth="1"/>
    <col min="3" max="3" width="6.375" style="2" customWidth="1"/>
    <col min="4" max="4" width="10.5" style="2" customWidth="1"/>
    <col min="5" max="5" width="7" style="2" customWidth="1"/>
    <col min="6" max="6" width="5.75" style="2" customWidth="1"/>
    <col min="7" max="7" width="9" style="2" customWidth="1"/>
    <col min="8" max="8" width="9.125" style="2" customWidth="1"/>
    <col min="9" max="9" width="12.625" style="2" customWidth="1"/>
    <col min="10" max="10" width="6.375" style="2" customWidth="1"/>
    <col min="11" max="11" width="13.375" style="2" customWidth="1"/>
    <col min="12" max="12" width="6.875" style="2" customWidth="1"/>
    <col min="13" max="13" width="13.375" style="2" customWidth="1"/>
  </cols>
  <sheetData>
    <row r="1" spans="1:13" ht="27.75" customHeight="1">
      <c r="A1" s="59"/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1"/>
    </row>
    <row r="2" spans="1:13" ht="32.25" customHeight="1">
      <c r="A2" s="59"/>
      <c r="B2" s="280" t="str">
        <f>총괄!A1</f>
        <v>&lt;활주로 지역 배수로개선 선행연구 산출내역서&gt;
(배수로 측량포함)</v>
      </c>
      <c r="C2" s="280"/>
      <c r="D2" s="280"/>
      <c r="E2" s="280"/>
      <c r="F2" s="280"/>
      <c r="G2" s="280"/>
      <c r="H2" s="280"/>
      <c r="I2" s="280"/>
      <c r="J2" s="280"/>
      <c r="K2" s="280"/>
      <c r="L2" s="62"/>
      <c r="M2" s="63"/>
    </row>
    <row r="3" spans="1:13" ht="49.5" customHeight="1">
      <c r="A3" s="59"/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5"/>
    </row>
    <row r="4" spans="1:13" ht="36" customHeight="1">
      <c r="A4" s="59"/>
      <c r="B4" s="66"/>
      <c r="C4" s="67" t="s">
        <v>60</v>
      </c>
      <c r="D4" s="68" t="s">
        <v>169</v>
      </c>
      <c r="E4" s="69" t="s">
        <v>235</v>
      </c>
      <c r="F4" s="69"/>
      <c r="G4" s="69"/>
      <c r="H4" s="69"/>
      <c r="I4" s="66"/>
      <c r="J4" s="66"/>
      <c r="K4" s="66"/>
      <c r="L4" s="66"/>
      <c r="M4" s="63"/>
    </row>
    <row r="5" spans="1:13" ht="19.5" customHeight="1">
      <c r="A5" s="59"/>
      <c r="B5" s="66"/>
      <c r="C5" s="70"/>
      <c r="D5" s="68"/>
      <c r="E5" s="69"/>
      <c r="F5" s="69"/>
      <c r="G5" s="71"/>
      <c r="H5" s="66"/>
      <c r="I5" s="66"/>
      <c r="J5" s="66"/>
      <c r="K5" s="66"/>
      <c r="L5" s="66"/>
      <c r="M5" s="63"/>
    </row>
    <row r="6" spans="1:13" ht="36" customHeight="1">
      <c r="A6" s="59"/>
      <c r="B6" s="66"/>
      <c r="C6" s="67" t="s">
        <v>60</v>
      </c>
      <c r="D6" s="68" t="s">
        <v>144</v>
      </c>
      <c r="E6" s="69" t="s">
        <v>160</v>
      </c>
      <c r="F6" s="69"/>
      <c r="G6" s="71"/>
      <c r="H6" s="66"/>
      <c r="I6" s="69"/>
      <c r="J6" s="69"/>
      <c r="K6" s="66"/>
      <c r="L6" s="66"/>
      <c r="M6" s="63"/>
    </row>
    <row r="7" spans="1:13" ht="36" customHeight="1">
      <c r="A7" s="59"/>
      <c r="B7" s="66"/>
      <c r="C7" s="66"/>
      <c r="D7" s="70"/>
      <c r="E7" s="69"/>
      <c r="F7" s="69"/>
      <c r="G7" s="71"/>
      <c r="H7" s="66"/>
      <c r="I7" s="69"/>
      <c r="J7" s="69"/>
      <c r="K7" s="66"/>
      <c r="L7" s="66"/>
      <c r="M7" s="63"/>
    </row>
    <row r="8" spans="1:13" ht="36" customHeight="1">
      <c r="A8" s="59"/>
      <c r="B8" s="66"/>
      <c r="C8" s="70"/>
      <c r="D8" s="69" t="s">
        <v>24</v>
      </c>
      <c r="E8" s="71"/>
      <c r="F8" s="71"/>
      <c r="G8" s="66"/>
      <c r="H8" s="66"/>
      <c r="I8" s="66"/>
      <c r="J8" s="66"/>
      <c r="K8" s="66"/>
      <c r="L8" s="66"/>
      <c r="M8" s="63"/>
    </row>
    <row r="9" spans="1:13" ht="36" customHeight="1">
      <c r="A9" s="59"/>
      <c r="B9" s="292" t="s">
        <v>162</v>
      </c>
      <c r="C9" s="292"/>
      <c r="D9" s="296">
        <f>총괄!G16</f>
        <v>325798800</v>
      </c>
      <c r="E9" s="296"/>
      <c r="F9" s="296"/>
      <c r="G9" s="296"/>
      <c r="H9" s="66"/>
      <c r="I9" s="293" t="str">
        <f>"금"&amp;NUMBERSTRING(D9,1)&amp;"원"</f>
        <v>금삼억이천오백칠십구만팔천팔백원</v>
      </c>
      <c r="J9" s="293"/>
      <c r="K9" s="293"/>
      <c r="L9" s="72"/>
      <c r="M9" s="63"/>
    </row>
    <row r="10" spans="1:13" ht="36" customHeight="1">
      <c r="A10" s="59"/>
      <c r="B10" s="292" t="s">
        <v>5</v>
      </c>
      <c r="C10" s="292"/>
      <c r="D10" s="297">
        <f>D9</f>
        <v>325798800</v>
      </c>
      <c r="E10" s="297"/>
      <c r="F10" s="297"/>
      <c r="G10" s="297"/>
      <c r="H10" s="66"/>
      <c r="I10" s="293" t="str">
        <f>I9</f>
        <v>금삼억이천오백칠십구만팔천팔백원</v>
      </c>
      <c r="J10" s="293"/>
      <c r="K10" s="293"/>
      <c r="L10" s="66"/>
      <c r="M10" s="63"/>
    </row>
    <row r="11" spans="1:13" ht="36" customHeight="1">
      <c r="A11" s="59"/>
      <c r="B11" s="295"/>
      <c r="C11" s="295"/>
      <c r="D11" s="73"/>
      <c r="E11" s="69"/>
      <c r="F11" s="69"/>
      <c r="G11" s="69"/>
      <c r="H11" s="66"/>
      <c r="I11" s="66"/>
      <c r="J11" s="293"/>
      <c r="K11" s="293"/>
      <c r="L11" s="293"/>
      <c r="M11" s="294"/>
    </row>
    <row r="12" spans="1:13" ht="36" customHeight="1">
      <c r="A12" s="74"/>
      <c r="B12" s="75"/>
      <c r="C12" s="76"/>
      <c r="D12" s="76"/>
      <c r="E12" s="76"/>
      <c r="F12" s="76"/>
      <c r="G12" s="76"/>
      <c r="H12" s="76"/>
      <c r="I12" s="76"/>
      <c r="J12" s="77"/>
      <c r="K12" s="77"/>
      <c r="L12" s="77"/>
      <c r="M12" s="78"/>
    </row>
    <row r="13" spans="1:13" ht="24" customHeight="1">
      <c r="A13" s="66"/>
      <c r="B13" s="79"/>
      <c r="C13" s="69"/>
      <c r="D13" s="69"/>
      <c r="E13" s="69"/>
      <c r="F13" s="69"/>
      <c r="G13" s="69"/>
      <c r="H13" s="69"/>
      <c r="I13" s="69"/>
      <c r="J13" s="66"/>
      <c r="K13" s="66"/>
      <c r="L13" s="66"/>
      <c r="M13" s="66"/>
    </row>
    <row r="14" spans="1:13" ht="35.25" customHeight="1">
      <c r="A14" s="80"/>
      <c r="B14" s="81"/>
      <c r="C14" s="81"/>
      <c r="D14" s="81"/>
      <c r="E14" s="81"/>
      <c r="F14" s="81"/>
      <c r="G14" s="81"/>
      <c r="H14" s="81"/>
      <c r="I14" s="81"/>
      <c r="J14" s="81"/>
      <c r="K14" s="81"/>
      <c r="L14" s="81"/>
      <c r="M14" s="82"/>
    </row>
    <row r="15" spans="1:13" ht="34.5" customHeight="1">
      <c r="A15" s="83"/>
      <c r="B15" s="84" t="s">
        <v>179</v>
      </c>
      <c r="C15" s="85"/>
      <c r="D15" s="85"/>
      <c r="E15" s="85"/>
      <c r="F15" s="85"/>
      <c r="G15" s="85"/>
      <c r="H15" s="85"/>
      <c r="I15" s="85"/>
      <c r="J15" s="85"/>
      <c r="K15" s="85"/>
      <c r="L15" s="85"/>
      <c r="M15" s="86"/>
    </row>
    <row r="16" spans="1:13" ht="33" customHeight="1">
      <c r="A16" s="83"/>
      <c r="B16" s="85"/>
      <c r="C16" s="85"/>
      <c r="D16" s="85"/>
      <c r="E16" s="85"/>
      <c r="F16" s="85"/>
      <c r="G16" s="85"/>
      <c r="H16" s="85"/>
      <c r="I16" s="85"/>
      <c r="J16" s="85"/>
      <c r="K16" s="85"/>
      <c r="L16" s="85"/>
      <c r="M16" s="86"/>
    </row>
    <row r="17" spans="1:13" ht="41.25" customHeight="1">
      <c r="A17" s="283"/>
      <c r="B17" s="284"/>
      <c r="C17" s="284"/>
      <c r="D17" s="284"/>
      <c r="E17" s="284"/>
      <c r="F17" s="284"/>
      <c r="G17" s="284"/>
      <c r="H17" s="284"/>
      <c r="I17" s="284"/>
      <c r="J17" s="284"/>
      <c r="K17" s="284"/>
      <c r="L17" s="284"/>
      <c r="M17" s="285"/>
    </row>
    <row r="18" spans="1:13" ht="4.5" customHeight="1">
      <c r="A18" s="83"/>
      <c r="B18" s="281"/>
      <c r="C18" s="281"/>
      <c r="D18" s="281"/>
      <c r="E18" s="281"/>
      <c r="F18" s="281"/>
      <c r="G18" s="281"/>
      <c r="H18" s="281"/>
      <c r="I18" s="281"/>
      <c r="J18" s="281"/>
      <c r="K18" s="281"/>
      <c r="L18" s="281"/>
      <c r="M18" s="282"/>
    </row>
    <row r="19" spans="1:13" ht="50.25" customHeight="1">
      <c r="A19" s="286" t="str">
        <f>B2</f>
        <v>&lt;활주로 지역 배수로개선 선행연구 산출내역서&gt;
(배수로 측량포함)</v>
      </c>
      <c r="B19" s="287"/>
      <c r="C19" s="287"/>
      <c r="D19" s="287"/>
      <c r="E19" s="287"/>
      <c r="F19" s="287"/>
      <c r="G19" s="287"/>
      <c r="H19" s="287"/>
      <c r="I19" s="287"/>
      <c r="J19" s="287"/>
      <c r="K19" s="287"/>
      <c r="L19" s="287"/>
      <c r="M19" s="288"/>
    </row>
    <row r="20" spans="1:13" ht="35.25" customHeight="1">
      <c r="A20" s="83"/>
      <c r="B20" s="85"/>
      <c r="C20" s="85"/>
      <c r="D20" s="87"/>
      <c r="E20" s="87"/>
      <c r="F20" s="87"/>
      <c r="G20" s="87"/>
      <c r="H20" s="87"/>
      <c r="I20" s="87"/>
      <c r="J20" s="87"/>
      <c r="K20" s="87"/>
      <c r="L20" s="87"/>
      <c r="M20" s="86"/>
    </row>
    <row r="21" spans="1:13" ht="35.25" customHeight="1">
      <c r="A21" s="83"/>
      <c r="B21" s="85"/>
      <c r="C21" s="85"/>
      <c r="D21" s="87"/>
      <c r="E21" s="87"/>
      <c r="F21" s="87"/>
      <c r="G21" s="87"/>
      <c r="H21" s="87"/>
      <c r="I21" s="87"/>
      <c r="J21" s="87"/>
      <c r="K21" s="87"/>
      <c r="L21" s="87"/>
      <c r="M21" s="86"/>
    </row>
    <row r="22" spans="1:13" ht="29.25" customHeight="1">
      <c r="A22" s="83"/>
      <c r="B22" s="85"/>
      <c r="C22" s="85"/>
      <c r="D22" s="87"/>
      <c r="E22" s="87"/>
      <c r="F22" s="87"/>
      <c r="G22" s="87"/>
      <c r="H22" s="87"/>
      <c r="I22" s="87"/>
      <c r="J22" s="87"/>
      <c r="K22" s="87"/>
      <c r="L22" s="87"/>
      <c r="M22" s="86"/>
    </row>
    <row r="23" spans="1:13" ht="20.25" customHeight="1">
      <c r="A23" s="83"/>
      <c r="B23" s="85"/>
      <c r="C23" s="85"/>
      <c r="D23" s="87"/>
      <c r="E23" s="87"/>
      <c r="F23" s="87"/>
      <c r="G23" s="87"/>
      <c r="H23" s="87"/>
      <c r="I23" s="87"/>
      <c r="J23" s="87"/>
      <c r="K23" s="88"/>
      <c r="L23" s="87"/>
      <c r="M23" s="86"/>
    </row>
    <row r="24" spans="1:13" ht="27" customHeight="1">
      <c r="A24" s="83"/>
      <c r="B24" s="85"/>
      <c r="C24" s="85"/>
      <c r="D24" s="85"/>
      <c r="E24" s="85"/>
      <c r="F24" s="85"/>
      <c r="G24" s="85"/>
      <c r="H24" s="85"/>
      <c r="I24" s="89"/>
      <c r="J24" s="85"/>
      <c r="K24" s="85"/>
      <c r="L24" s="85"/>
      <c r="M24" s="86"/>
    </row>
    <row r="25" spans="1:13" ht="14.25" customHeight="1">
      <c r="A25" s="83"/>
      <c r="B25" s="85"/>
      <c r="C25" s="85"/>
      <c r="D25" s="89"/>
      <c r="E25" s="87"/>
      <c r="F25" s="87"/>
      <c r="G25" s="87"/>
      <c r="H25" s="87"/>
      <c r="I25" s="87"/>
      <c r="J25" s="87"/>
      <c r="K25" s="87"/>
      <c r="L25" s="87"/>
      <c r="M25" s="86"/>
    </row>
    <row r="26" spans="1:13" ht="27" customHeight="1">
      <c r="A26" s="83"/>
      <c r="B26" s="85"/>
      <c r="C26" s="85"/>
      <c r="D26" s="87"/>
      <c r="E26" s="87"/>
      <c r="F26" s="87"/>
      <c r="G26" s="87"/>
      <c r="H26" s="87"/>
      <c r="I26" s="87"/>
      <c r="J26" s="87"/>
      <c r="K26" s="87"/>
      <c r="L26" s="87"/>
      <c r="M26" s="86"/>
    </row>
    <row r="27" spans="1:13" ht="44.25" customHeight="1">
      <c r="A27" s="289" t="s">
        <v>219</v>
      </c>
      <c r="B27" s="290"/>
      <c r="C27" s="290"/>
      <c r="D27" s="290"/>
      <c r="E27" s="290"/>
      <c r="F27" s="290"/>
      <c r="G27" s="290"/>
      <c r="H27" s="290"/>
      <c r="I27" s="290"/>
      <c r="J27" s="290"/>
      <c r="K27" s="290"/>
      <c r="L27" s="290"/>
      <c r="M27" s="291"/>
    </row>
    <row r="28" spans="1:13" ht="24" customHeight="1">
      <c r="A28" s="83"/>
      <c r="B28" s="85"/>
      <c r="C28" s="85"/>
      <c r="D28" s="85"/>
      <c r="E28" s="85"/>
      <c r="F28" s="85"/>
      <c r="G28" s="85"/>
      <c r="H28" s="85"/>
      <c r="I28" s="85"/>
      <c r="J28" s="85"/>
      <c r="K28" s="85"/>
      <c r="L28" s="85"/>
      <c r="M28" s="86"/>
    </row>
    <row r="29" spans="1:13" ht="32.25" customHeight="1">
      <c r="A29" s="90"/>
      <c r="B29" s="91"/>
      <c r="C29" s="91"/>
      <c r="D29" s="91"/>
      <c r="E29" s="91"/>
      <c r="F29" s="91"/>
      <c r="G29" s="91"/>
      <c r="H29" s="91"/>
      <c r="I29" s="91"/>
      <c r="J29" s="91"/>
      <c r="K29" s="91"/>
      <c r="L29" s="91"/>
      <c r="M29" s="92"/>
    </row>
  </sheetData>
  <mergeCells count="14">
    <mergeCell ref="B2:K2"/>
    <mergeCell ref="B18:M18"/>
    <mergeCell ref="A17:M17"/>
    <mergeCell ref="A19:M19"/>
    <mergeCell ref="A27:M27"/>
    <mergeCell ref="B9:C9"/>
    <mergeCell ref="B10:C10"/>
    <mergeCell ref="I9:K9"/>
    <mergeCell ref="L11:M11"/>
    <mergeCell ref="I10:K10"/>
    <mergeCell ref="B11:C11"/>
    <mergeCell ref="J11:K11"/>
    <mergeCell ref="D9:G9"/>
    <mergeCell ref="D10:G10"/>
  </mergeCells>
  <phoneticPr fontId="33" type="noConversion"/>
  <printOptions horizontalCentered="1"/>
  <pageMargins left="1.0800000429153442" right="0.61000001430511475" top="0.86000001430511475" bottom="0.74750000238418579" header="0.51138889789581299" footer="0.55097222328186035"/>
  <pageSetup paperSize="9" scale="51" orientation="landscape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5"/>
  <dimension ref="A1:N24"/>
  <sheetViews>
    <sheetView view="pageBreakPreview" zoomScaleNormal="100" zoomScaleSheetLayoutView="100" workbookViewId="0">
      <selection activeCell="B9" sqref="B9:O9"/>
    </sheetView>
  </sheetViews>
  <sheetFormatPr defaultColWidth="8.875" defaultRowHeight="16.5"/>
  <cols>
    <col min="1" max="1" width="8.625" style="54" customWidth="1"/>
    <col min="2" max="2" width="14.25" style="54" customWidth="1"/>
    <col min="3" max="3" width="17.875" style="54" customWidth="1"/>
    <col min="4" max="4" width="7" style="55" customWidth="1"/>
    <col min="5" max="5" width="5.375" style="54" customWidth="1"/>
    <col min="6" max="6" width="10.5" style="54" customWidth="1"/>
    <col min="7" max="7" width="14.625" style="54" customWidth="1"/>
    <col min="8" max="8" width="12.5" style="54" customWidth="1"/>
    <col min="9" max="9" width="10" style="54"/>
    <col min="10" max="13" width="8.375" style="54" customWidth="1"/>
    <col min="14" max="14" width="5.375" style="54" customWidth="1"/>
  </cols>
  <sheetData>
    <row r="1" spans="1:14" s="47" customFormat="1">
      <c r="A1" s="304" t="s">
        <v>261</v>
      </c>
      <c r="B1" s="304"/>
      <c r="C1" s="304"/>
      <c r="D1" s="304"/>
      <c r="E1" s="304"/>
      <c r="F1" s="304"/>
      <c r="G1" s="304"/>
      <c r="H1" s="304"/>
      <c r="I1" s="304"/>
      <c r="J1" s="304"/>
      <c r="K1" s="304"/>
      <c r="L1" s="304"/>
      <c r="M1" s="304"/>
      <c r="N1" s="304"/>
    </row>
    <row r="2" spans="1:14" ht="34.5" customHeight="1">
      <c r="A2" s="304"/>
      <c r="B2" s="304"/>
      <c r="C2" s="304"/>
      <c r="D2" s="304"/>
      <c r="E2" s="304"/>
      <c r="F2" s="304"/>
      <c r="G2" s="304"/>
      <c r="H2" s="304"/>
      <c r="I2" s="304"/>
      <c r="J2" s="304"/>
      <c r="K2" s="304"/>
      <c r="L2" s="304"/>
      <c r="M2" s="304"/>
      <c r="N2" s="304"/>
    </row>
    <row r="3" spans="1:14" s="66" customFormat="1" ht="12" customHeight="1" thickBot="1">
      <c r="A3" s="123"/>
      <c r="B3" s="123"/>
      <c r="C3" s="123"/>
      <c r="D3" s="123"/>
      <c r="E3" s="123"/>
      <c r="F3" s="123"/>
      <c r="G3" s="123"/>
      <c r="H3" s="123"/>
      <c r="I3" s="123"/>
      <c r="J3" s="123"/>
      <c r="K3" s="123"/>
      <c r="L3" s="123"/>
      <c r="M3" s="123"/>
      <c r="N3" s="123"/>
    </row>
    <row r="4" spans="1:14" s="53" customFormat="1" ht="23.25" customHeight="1">
      <c r="A4" s="302"/>
      <c r="B4" s="298" t="s">
        <v>200</v>
      </c>
      <c r="C4" s="298" t="s">
        <v>184</v>
      </c>
      <c r="D4" s="298" t="s">
        <v>93</v>
      </c>
      <c r="E4" s="298" t="s">
        <v>26</v>
      </c>
      <c r="F4" s="216" t="s">
        <v>213</v>
      </c>
      <c r="G4" s="190"/>
      <c r="H4" s="190" t="s">
        <v>241</v>
      </c>
      <c r="I4" s="190"/>
      <c r="J4" s="190" t="s">
        <v>214</v>
      </c>
      <c r="K4" s="190"/>
      <c r="L4" s="190" t="s">
        <v>240</v>
      </c>
      <c r="M4" s="190"/>
      <c r="N4" s="300" t="s">
        <v>129</v>
      </c>
    </row>
    <row r="5" spans="1:14" s="53" customFormat="1" ht="18.75" customHeight="1" thickBot="1">
      <c r="A5" s="303"/>
      <c r="B5" s="299"/>
      <c r="C5" s="299"/>
      <c r="D5" s="299"/>
      <c r="E5" s="299"/>
      <c r="F5" s="217" t="s">
        <v>98</v>
      </c>
      <c r="G5" s="191" t="s">
        <v>109</v>
      </c>
      <c r="H5" s="191" t="s">
        <v>98</v>
      </c>
      <c r="I5" s="191" t="s">
        <v>109</v>
      </c>
      <c r="J5" s="191" t="s">
        <v>98</v>
      </c>
      <c r="K5" s="191" t="s">
        <v>109</v>
      </c>
      <c r="L5" s="191" t="s">
        <v>98</v>
      </c>
      <c r="M5" s="191" t="s">
        <v>109</v>
      </c>
      <c r="N5" s="301"/>
    </row>
    <row r="6" spans="1:14" ht="35.1" customHeight="1" thickTop="1">
      <c r="A6" s="192" t="s">
        <v>28</v>
      </c>
      <c r="B6" s="193" t="s">
        <v>35</v>
      </c>
      <c r="C6" s="128"/>
      <c r="D6" s="128">
        <v>1</v>
      </c>
      <c r="E6" s="128" t="s">
        <v>57</v>
      </c>
      <c r="F6" s="194"/>
      <c r="G6" s="195">
        <f>측량비!Q52</f>
        <v>201701000</v>
      </c>
      <c r="H6" s="196"/>
      <c r="I6" s="194"/>
      <c r="J6" s="194"/>
      <c r="K6" s="194"/>
      <c r="L6" s="194"/>
      <c r="M6" s="194"/>
      <c r="N6" s="197"/>
    </row>
    <row r="7" spans="1:14" ht="35.1" hidden="1" customHeight="1">
      <c r="A7" s="192"/>
      <c r="B7" s="193"/>
      <c r="C7" s="128"/>
      <c r="D7" s="128"/>
      <c r="E7" s="128"/>
      <c r="F7" s="194"/>
      <c r="G7" s="195"/>
      <c r="H7" s="195"/>
      <c r="I7" s="194"/>
      <c r="J7" s="194"/>
      <c r="K7" s="194"/>
      <c r="L7" s="194"/>
      <c r="M7" s="194"/>
      <c r="N7" s="197"/>
    </row>
    <row r="8" spans="1:14" ht="35.1" customHeight="1">
      <c r="A8" s="198"/>
      <c r="B8" s="128" t="s">
        <v>38</v>
      </c>
      <c r="C8" s="128"/>
      <c r="D8" s="128"/>
      <c r="E8" s="194"/>
      <c r="F8" s="194"/>
      <c r="G8" s="195">
        <f>SUM(G6:G7)</f>
        <v>201701000</v>
      </c>
      <c r="H8" s="196"/>
      <c r="I8" s="194"/>
      <c r="J8" s="194"/>
      <c r="K8" s="194"/>
      <c r="L8" s="194"/>
      <c r="M8" s="194"/>
      <c r="N8" s="197"/>
    </row>
    <row r="9" spans="1:14" ht="35.1" customHeight="1">
      <c r="A9" s="192"/>
      <c r="B9" s="193" t="s">
        <v>90</v>
      </c>
      <c r="C9" s="128"/>
      <c r="D9" s="128">
        <v>1</v>
      </c>
      <c r="E9" s="128" t="s">
        <v>57</v>
      </c>
      <c r="F9" s="194"/>
      <c r="G9" s="195">
        <f>손해배상보험!E21</f>
        <v>1547000</v>
      </c>
      <c r="H9" s="196"/>
      <c r="I9" s="194"/>
      <c r="J9" s="194"/>
      <c r="K9" s="194"/>
      <c r="L9" s="194"/>
      <c r="M9" s="194"/>
      <c r="N9" s="197"/>
    </row>
    <row r="10" spans="1:14" ht="35.1" customHeight="1">
      <c r="A10" s="192"/>
      <c r="B10" s="193"/>
      <c r="C10" s="128" t="s">
        <v>218</v>
      </c>
      <c r="D10" s="128">
        <v>10</v>
      </c>
      <c r="E10" s="128" t="s">
        <v>25</v>
      </c>
      <c r="F10" s="194"/>
      <c r="G10" s="195">
        <f>INT((G8+G9)*D10/100)</f>
        <v>20324800</v>
      </c>
      <c r="H10" s="196"/>
      <c r="I10" s="194"/>
      <c r="J10" s="194"/>
      <c r="K10" s="194"/>
      <c r="L10" s="194"/>
      <c r="M10" s="194"/>
      <c r="N10" s="197"/>
    </row>
    <row r="11" spans="1:14" ht="35.1" customHeight="1">
      <c r="A11" s="198"/>
      <c r="B11" s="199" t="s">
        <v>22</v>
      </c>
      <c r="C11" s="200"/>
      <c r="D11" s="199" t="s">
        <v>64</v>
      </c>
      <c r="E11" s="201"/>
      <c r="F11" s="201"/>
      <c r="G11" s="202">
        <f>SUM(G8:G10)</f>
        <v>223572800</v>
      </c>
      <c r="H11" s="196"/>
      <c r="I11" s="194"/>
      <c r="J11" s="194"/>
      <c r="K11" s="194"/>
      <c r="L11" s="194"/>
      <c r="M11" s="194"/>
      <c r="N11" s="197"/>
    </row>
    <row r="12" spans="1:14" s="1" customFormat="1" ht="35.1" customHeight="1">
      <c r="A12" s="203">
        <v>2</v>
      </c>
      <c r="B12" s="193" t="s">
        <v>134</v>
      </c>
      <c r="C12" s="204"/>
      <c r="D12" s="128">
        <v>1</v>
      </c>
      <c r="E12" s="128" t="s">
        <v>57</v>
      </c>
      <c r="F12" s="194"/>
      <c r="G12" s="195">
        <f>선행연구!B11+선행연구!B20+선행연구!B21+선행연구!B22</f>
        <v>92933434.819999993</v>
      </c>
      <c r="H12" s="205"/>
      <c r="I12" s="206"/>
      <c r="J12" s="206"/>
      <c r="K12" s="206"/>
      <c r="L12" s="206"/>
      <c r="M12" s="206"/>
      <c r="N12" s="207"/>
    </row>
    <row r="13" spans="1:14" s="1" customFormat="1" ht="35.1" customHeight="1">
      <c r="A13" s="208"/>
      <c r="B13" s="128" t="s">
        <v>38</v>
      </c>
      <c r="C13" s="128"/>
      <c r="D13" s="128"/>
      <c r="E13" s="194"/>
      <c r="F13" s="194"/>
      <c r="G13" s="195">
        <f>SUM(G12:G12)</f>
        <v>92933434.819999993</v>
      </c>
      <c r="H13" s="205"/>
      <c r="I13" s="206"/>
      <c r="J13" s="206"/>
      <c r="K13" s="206"/>
      <c r="L13" s="206"/>
      <c r="M13" s="206"/>
      <c r="N13" s="207"/>
    </row>
    <row r="14" spans="1:14" s="1" customFormat="1" ht="35.1" customHeight="1">
      <c r="A14" s="203">
        <v>3</v>
      </c>
      <c r="B14" s="193" t="s">
        <v>117</v>
      </c>
      <c r="C14" s="128" t="s">
        <v>218</v>
      </c>
      <c r="D14" s="128">
        <v>10</v>
      </c>
      <c r="E14" s="128" t="s">
        <v>25</v>
      </c>
      <c r="F14" s="194"/>
      <c r="G14" s="195">
        <f>INT(G13*D14/100)</f>
        <v>9293343</v>
      </c>
      <c r="H14" s="205"/>
      <c r="I14" s="206"/>
      <c r="J14" s="206"/>
      <c r="K14" s="206"/>
      <c r="L14" s="206"/>
      <c r="M14" s="206"/>
      <c r="N14" s="207"/>
    </row>
    <row r="15" spans="1:14" s="1" customFormat="1" ht="35.1" customHeight="1">
      <c r="A15" s="208"/>
      <c r="B15" s="199" t="s">
        <v>22</v>
      </c>
      <c r="C15" s="199"/>
      <c r="D15" s="199"/>
      <c r="E15" s="201"/>
      <c r="F15" s="201"/>
      <c r="G15" s="202">
        <f>ROUNDDOWN(SUM(G13:G14),-3)</f>
        <v>102226000</v>
      </c>
      <c r="H15" s="205"/>
      <c r="I15" s="206"/>
      <c r="J15" s="206"/>
      <c r="K15" s="206"/>
      <c r="L15" s="206"/>
      <c r="M15" s="206"/>
      <c r="N15" s="207"/>
    </row>
    <row r="16" spans="1:14" s="1" customFormat="1" ht="35.1" customHeight="1" thickBot="1">
      <c r="A16" s="209">
        <v>3</v>
      </c>
      <c r="B16" s="210" t="s">
        <v>33</v>
      </c>
      <c r="C16" s="210"/>
      <c r="D16" s="210"/>
      <c r="E16" s="211"/>
      <c r="F16" s="211"/>
      <c r="G16" s="212">
        <f>G11+G15</f>
        <v>325798800</v>
      </c>
      <c r="H16" s="213"/>
      <c r="I16" s="214"/>
      <c r="J16" s="214"/>
      <c r="K16" s="214"/>
      <c r="L16" s="214"/>
      <c r="M16" s="214"/>
      <c r="N16" s="215"/>
    </row>
    <row r="22" spans="7:7">
      <c r="G22" s="56"/>
    </row>
    <row r="23" spans="7:7">
      <c r="G23" s="57"/>
    </row>
    <row r="24" spans="7:7">
      <c r="G24" s="58"/>
    </row>
  </sheetData>
  <mergeCells count="7">
    <mergeCell ref="A1:N2"/>
    <mergeCell ref="E4:E5"/>
    <mergeCell ref="N4:N5"/>
    <mergeCell ref="A4:A5"/>
    <mergeCell ref="B4:B5"/>
    <mergeCell ref="C4:C5"/>
    <mergeCell ref="D4:D5"/>
  </mergeCells>
  <phoneticPr fontId="33" type="noConversion"/>
  <printOptions horizontalCentered="1" verticalCentered="1"/>
  <pageMargins left="0.55097222328186035" right="0.39347222447395325" top="1.0229166746139526" bottom="0.74750000238418579" header="0.51138889789581299" footer="0.55097222328186035"/>
  <pageSetup paperSize="9" scale="9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4">
    <tabColor rgb="FFFF0000"/>
  </sheetPr>
  <dimension ref="A1:T57"/>
  <sheetViews>
    <sheetView view="pageBreakPreview" zoomScaleNormal="100" zoomScaleSheetLayoutView="100" workbookViewId="0">
      <selection activeCell="B9" sqref="B9:O9"/>
    </sheetView>
  </sheetViews>
  <sheetFormatPr defaultColWidth="8.875" defaultRowHeight="16.5" customHeight="1"/>
  <cols>
    <col min="1" max="1" width="11.25" style="2" customWidth="1"/>
    <col min="2" max="2" width="14.125" style="2" customWidth="1"/>
    <col min="3" max="3" width="10.75" style="2" customWidth="1"/>
    <col min="4" max="4" width="7.875" style="2" customWidth="1"/>
    <col min="5" max="5" width="3.5" style="2" bestFit="1" customWidth="1"/>
    <col min="6" max="6" width="2.625" style="2" bestFit="1" customWidth="1"/>
    <col min="7" max="7" width="5.875" style="2" customWidth="1"/>
    <col min="8" max="8" width="2.625" style="2" bestFit="1" customWidth="1"/>
    <col min="9" max="9" width="5.375" style="2" customWidth="1"/>
    <col min="10" max="10" width="2.625" style="2" bestFit="1" customWidth="1"/>
    <col min="11" max="11" width="5.875" style="2" bestFit="1" customWidth="1"/>
    <col min="12" max="12" width="2.625" style="2" bestFit="1" customWidth="1"/>
    <col min="13" max="13" width="7.625" style="2" bestFit="1" customWidth="1"/>
    <col min="14" max="14" width="2.625" style="2" bestFit="1" customWidth="1"/>
    <col min="15" max="15" width="5.375" style="2" customWidth="1"/>
    <col min="16" max="16" width="4.125" style="2" customWidth="1"/>
    <col min="17" max="17" width="13" style="2" customWidth="1"/>
    <col min="19" max="19" width="16.75" style="2" customWidth="1"/>
    <col min="20" max="20" width="12.5" style="2" customWidth="1"/>
  </cols>
  <sheetData>
    <row r="1" spans="1:17" ht="16.5" customHeight="1">
      <c r="A1" s="305" t="s">
        <v>258</v>
      </c>
      <c r="B1" s="305"/>
      <c r="C1" s="305"/>
      <c r="D1" s="305"/>
      <c r="E1" s="305"/>
      <c r="F1" s="305"/>
      <c r="G1" s="305"/>
      <c r="H1" s="305"/>
      <c r="I1" s="305"/>
      <c r="J1" s="305"/>
      <c r="K1" s="305"/>
      <c r="L1" s="305"/>
      <c r="M1" s="305"/>
      <c r="N1" s="305"/>
      <c r="O1" s="305"/>
      <c r="P1" s="305"/>
      <c r="Q1" s="305"/>
    </row>
    <row r="2" spans="1:17" s="47" customFormat="1" ht="16.5" customHeight="1">
      <c r="A2" s="306"/>
      <c r="B2" s="306"/>
      <c r="C2" s="306"/>
      <c r="D2" s="306"/>
      <c r="E2" s="306"/>
      <c r="F2" s="306"/>
      <c r="G2" s="306"/>
      <c r="H2" s="306"/>
      <c r="I2" s="306"/>
      <c r="J2" s="306"/>
      <c r="K2" s="306"/>
      <c r="L2" s="306"/>
      <c r="M2" s="306"/>
      <c r="N2" s="306"/>
      <c r="O2" s="306"/>
      <c r="P2" s="306"/>
      <c r="Q2" s="306"/>
    </row>
    <row r="3" spans="1:17" ht="16.5" customHeight="1">
      <c r="A3" s="147" t="s">
        <v>39</v>
      </c>
      <c r="B3" s="307" t="s">
        <v>195</v>
      </c>
      <c r="C3" s="308"/>
      <c r="D3" s="308"/>
      <c r="E3" s="308"/>
      <c r="F3" s="308"/>
      <c r="G3" s="308"/>
      <c r="H3" s="308"/>
      <c r="I3" s="308"/>
      <c r="J3" s="308"/>
      <c r="K3" s="308"/>
      <c r="L3" s="308"/>
      <c r="M3" s="308"/>
      <c r="N3" s="308"/>
      <c r="O3" s="309"/>
      <c r="P3" s="148" t="s">
        <v>26</v>
      </c>
      <c r="Q3" s="149" t="s">
        <v>149</v>
      </c>
    </row>
    <row r="4" spans="1:17" ht="16.5" customHeight="1">
      <c r="A4" s="310" t="s">
        <v>204</v>
      </c>
      <c r="B4" s="311" t="s">
        <v>161</v>
      </c>
      <c r="C4" s="311"/>
      <c r="D4" s="311"/>
      <c r="E4" s="311"/>
      <c r="F4" s="311"/>
      <c r="G4" s="311"/>
      <c r="H4" s="311"/>
      <c r="I4" s="311"/>
      <c r="J4" s="311"/>
      <c r="K4" s="311"/>
      <c r="L4" s="311"/>
      <c r="M4" s="311"/>
      <c r="N4" s="311"/>
      <c r="O4" s="311"/>
      <c r="P4" s="311"/>
      <c r="Q4" s="311"/>
    </row>
    <row r="5" spans="1:17" ht="16.5" customHeight="1">
      <c r="A5" s="310"/>
      <c r="B5" s="312" t="s">
        <v>193</v>
      </c>
      <c r="C5" s="312"/>
      <c r="D5" s="312"/>
      <c r="E5" s="312"/>
      <c r="F5" s="312"/>
      <c r="G5" s="312"/>
      <c r="H5" s="312"/>
      <c r="I5" s="312"/>
      <c r="J5" s="312"/>
      <c r="K5" s="312"/>
      <c r="L5" s="312"/>
      <c r="M5" s="312"/>
      <c r="N5" s="312"/>
      <c r="O5" s="312"/>
      <c r="P5" s="150" t="s">
        <v>41</v>
      </c>
      <c r="Q5" s="151">
        <v>4.25</v>
      </c>
    </row>
    <row r="6" spans="1:17" ht="16.5" customHeight="1">
      <c r="A6" s="310"/>
      <c r="B6" s="312" t="s">
        <v>183</v>
      </c>
      <c r="C6" s="312"/>
      <c r="D6" s="312"/>
      <c r="E6" s="312"/>
      <c r="F6" s="312"/>
      <c r="G6" s="312"/>
      <c r="H6" s="312"/>
      <c r="I6" s="312"/>
      <c r="J6" s="312"/>
      <c r="K6" s="312"/>
      <c r="L6" s="312"/>
      <c r="M6" s="312"/>
      <c r="N6" s="312"/>
      <c r="O6" s="312"/>
      <c r="P6" s="150" t="s">
        <v>41</v>
      </c>
      <c r="Q6" s="151">
        <v>15</v>
      </c>
    </row>
    <row r="7" spans="1:17" ht="16.5" customHeight="1">
      <c r="A7" s="310"/>
      <c r="B7" s="312" t="s">
        <v>207</v>
      </c>
      <c r="C7" s="312"/>
      <c r="D7" s="312"/>
      <c r="E7" s="312"/>
      <c r="F7" s="312"/>
      <c r="G7" s="312"/>
      <c r="H7" s="312"/>
      <c r="I7" s="312"/>
      <c r="J7" s="312"/>
      <c r="K7" s="312"/>
      <c r="L7" s="312"/>
      <c r="M7" s="312"/>
      <c r="N7" s="312"/>
      <c r="O7" s="312"/>
      <c r="P7" s="150" t="s">
        <v>41</v>
      </c>
      <c r="Q7" s="151">
        <v>15</v>
      </c>
    </row>
    <row r="8" spans="1:17" ht="16.5" customHeight="1">
      <c r="A8" s="310"/>
      <c r="B8" s="312" t="s">
        <v>178</v>
      </c>
      <c r="C8" s="312"/>
      <c r="D8" s="312"/>
      <c r="E8" s="312"/>
      <c r="F8" s="312"/>
      <c r="G8" s="312"/>
      <c r="H8" s="312"/>
      <c r="I8" s="312"/>
      <c r="J8" s="312"/>
      <c r="K8" s="312"/>
      <c r="L8" s="312"/>
      <c r="M8" s="312"/>
      <c r="N8" s="312"/>
      <c r="O8" s="312"/>
      <c r="P8" s="150" t="s">
        <v>41</v>
      </c>
      <c r="Q8" s="151">
        <v>7</v>
      </c>
    </row>
    <row r="9" spans="1:17" ht="16.5" customHeight="1">
      <c r="A9" s="310"/>
      <c r="B9" s="312" t="s">
        <v>173</v>
      </c>
      <c r="C9" s="312"/>
      <c r="D9" s="312"/>
      <c r="E9" s="312"/>
      <c r="F9" s="312"/>
      <c r="G9" s="312"/>
      <c r="H9" s="312"/>
      <c r="I9" s="312"/>
      <c r="J9" s="312"/>
      <c r="K9" s="312"/>
      <c r="L9" s="312"/>
      <c r="M9" s="312"/>
      <c r="N9" s="312"/>
      <c r="O9" s="312"/>
      <c r="P9" s="150" t="s">
        <v>41</v>
      </c>
      <c r="Q9" s="151">
        <v>7</v>
      </c>
    </row>
    <row r="10" spans="1:17" ht="16.5" customHeight="1">
      <c r="A10" s="310"/>
      <c r="B10" s="311" t="s">
        <v>4</v>
      </c>
      <c r="C10" s="311"/>
      <c r="D10" s="311"/>
      <c r="E10" s="311"/>
      <c r="F10" s="311"/>
      <c r="G10" s="311"/>
      <c r="H10" s="311"/>
      <c r="I10" s="311"/>
      <c r="J10" s="311"/>
      <c r="K10" s="311"/>
      <c r="L10" s="311"/>
      <c r="M10" s="311"/>
      <c r="N10" s="311"/>
      <c r="O10" s="311"/>
      <c r="P10" s="311"/>
      <c r="Q10" s="311"/>
    </row>
    <row r="11" spans="1:17" ht="16.5" customHeight="1">
      <c r="A11" s="310"/>
      <c r="B11" s="152" t="s">
        <v>106</v>
      </c>
      <c r="C11" s="153">
        <v>1.25</v>
      </c>
      <c r="D11" s="313" t="s">
        <v>248</v>
      </c>
      <c r="E11" s="313"/>
      <c r="F11" s="313"/>
      <c r="G11" s="313"/>
      <c r="H11" s="313"/>
      <c r="I11" s="313"/>
      <c r="J11" s="313"/>
      <c r="K11" s="313"/>
      <c r="L11" s="313"/>
      <c r="M11" s="313"/>
      <c r="N11" s="313"/>
      <c r="O11" s="313"/>
      <c r="P11" s="150"/>
      <c r="Q11" s="151">
        <f>C11</f>
        <v>1.25</v>
      </c>
    </row>
    <row r="12" spans="1:17" ht="16.5" customHeight="1">
      <c r="A12" s="310"/>
      <c r="B12" s="311" t="s">
        <v>233</v>
      </c>
      <c r="C12" s="311"/>
      <c r="D12" s="311"/>
      <c r="E12" s="311"/>
      <c r="F12" s="311"/>
      <c r="G12" s="311"/>
      <c r="H12" s="311"/>
      <c r="I12" s="311"/>
      <c r="J12" s="311"/>
      <c r="K12" s="311"/>
      <c r="L12" s="311"/>
      <c r="M12" s="311"/>
      <c r="N12" s="311"/>
      <c r="O12" s="311"/>
      <c r="P12" s="311"/>
      <c r="Q12" s="311"/>
    </row>
    <row r="13" spans="1:17" ht="16.5" customHeight="1">
      <c r="A13" s="310"/>
      <c r="B13" s="152" t="s">
        <v>196</v>
      </c>
      <c r="C13" s="153">
        <v>1</v>
      </c>
      <c r="D13" s="313" t="s">
        <v>14</v>
      </c>
      <c r="E13" s="313"/>
      <c r="F13" s="313"/>
      <c r="G13" s="313"/>
      <c r="H13" s="313"/>
      <c r="I13" s="313"/>
      <c r="J13" s="313"/>
      <c r="K13" s="313"/>
      <c r="L13" s="313"/>
      <c r="M13" s="313"/>
      <c r="N13" s="313"/>
      <c r="O13" s="313"/>
      <c r="P13" s="150"/>
      <c r="Q13" s="151">
        <f>C13</f>
        <v>1</v>
      </c>
    </row>
    <row r="14" spans="1:17" ht="16.5" customHeight="1">
      <c r="A14" s="310"/>
      <c r="B14" s="311" t="s">
        <v>232</v>
      </c>
      <c r="C14" s="311"/>
      <c r="D14" s="311"/>
      <c r="E14" s="311"/>
      <c r="F14" s="311"/>
      <c r="G14" s="311"/>
      <c r="H14" s="311"/>
      <c r="I14" s="311"/>
      <c r="J14" s="311"/>
      <c r="K14" s="311"/>
      <c r="L14" s="311"/>
      <c r="M14" s="311"/>
      <c r="N14" s="311"/>
      <c r="O14" s="311"/>
      <c r="P14" s="311"/>
      <c r="Q14" s="311"/>
    </row>
    <row r="15" spans="1:17" ht="16.5" customHeight="1">
      <c r="A15" s="310"/>
      <c r="B15" s="152" t="s">
        <v>224</v>
      </c>
      <c r="C15" s="314">
        <f>I15*O15</f>
        <v>869950</v>
      </c>
      <c r="D15" s="314"/>
      <c r="E15" s="154" t="s">
        <v>42</v>
      </c>
      <c r="F15" s="155"/>
      <c r="G15" s="156" t="s">
        <v>30</v>
      </c>
      <c r="H15" s="155" t="s">
        <v>23</v>
      </c>
      <c r="I15" s="318">
        <v>68500</v>
      </c>
      <c r="J15" s="319"/>
      <c r="K15" s="320"/>
      <c r="L15" s="155"/>
      <c r="M15" s="156" t="s">
        <v>29</v>
      </c>
      <c r="N15" s="155" t="s">
        <v>23</v>
      </c>
      <c r="O15" s="321">
        <v>12.7</v>
      </c>
      <c r="P15" s="322"/>
      <c r="Q15" s="157">
        <f>IF(C15&gt;200000,0.9,0.8+2/(C15/10000))</f>
        <v>0.9</v>
      </c>
    </row>
    <row r="16" spans="1:17" ht="16.5" customHeight="1">
      <c r="A16" s="310"/>
      <c r="B16" s="311" t="s">
        <v>242</v>
      </c>
      <c r="C16" s="311"/>
      <c r="D16" s="311"/>
      <c r="E16" s="311"/>
      <c r="F16" s="311"/>
      <c r="G16" s="311"/>
      <c r="H16" s="311"/>
      <c r="I16" s="311"/>
      <c r="J16" s="311"/>
      <c r="K16" s="311"/>
      <c r="L16" s="311"/>
      <c r="M16" s="311"/>
      <c r="N16" s="311"/>
      <c r="O16" s="311"/>
      <c r="P16" s="311"/>
      <c r="Q16" s="311"/>
    </row>
    <row r="17" spans="1:17" ht="16.5" customHeight="1">
      <c r="A17" s="310"/>
      <c r="B17" s="152" t="s">
        <v>163</v>
      </c>
      <c r="C17" s="158">
        <v>1</v>
      </c>
      <c r="D17" s="315" t="s">
        <v>247</v>
      </c>
      <c r="E17" s="316"/>
      <c r="F17" s="316"/>
      <c r="G17" s="316"/>
      <c r="H17" s="316"/>
      <c r="I17" s="316"/>
      <c r="J17" s="316"/>
      <c r="K17" s="316"/>
      <c r="L17" s="316"/>
      <c r="M17" s="316"/>
      <c r="N17" s="316"/>
      <c r="O17" s="316"/>
      <c r="P17" s="317"/>
      <c r="Q17" s="157">
        <f>C17</f>
        <v>1</v>
      </c>
    </row>
    <row r="18" spans="1:17" ht="16.5" customHeight="1">
      <c r="A18" s="310"/>
      <c r="B18" s="311" t="s">
        <v>243</v>
      </c>
      <c r="C18" s="311"/>
      <c r="D18" s="311"/>
      <c r="E18" s="311"/>
      <c r="F18" s="311"/>
      <c r="G18" s="311"/>
      <c r="H18" s="311"/>
      <c r="I18" s="311"/>
      <c r="J18" s="311"/>
      <c r="K18" s="311"/>
      <c r="L18" s="311"/>
      <c r="M18" s="311"/>
      <c r="N18" s="311"/>
      <c r="O18" s="311"/>
      <c r="P18" s="311"/>
      <c r="Q18" s="311"/>
    </row>
    <row r="19" spans="1:17" ht="16.5" customHeight="1">
      <c r="A19" s="310"/>
      <c r="B19" s="159" t="s">
        <v>199</v>
      </c>
      <c r="C19" s="159"/>
      <c r="D19" s="160">
        <f>Q5</f>
        <v>4.25</v>
      </c>
      <c r="E19" s="161" t="s">
        <v>41</v>
      </c>
      <c r="F19" s="162" t="s">
        <v>32</v>
      </c>
      <c r="G19" s="163">
        <f>C15/100000</f>
        <v>8.6995000000000005</v>
      </c>
      <c r="H19" s="162" t="s">
        <v>32</v>
      </c>
      <c r="I19" s="164">
        <f>Q11</f>
        <v>1.25</v>
      </c>
      <c r="J19" s="162" t="s">
        <v>32</v>
      </c>
      <c r="K19" s="165">
        <f>Q13</f>
        <v>1</v>
      </c>
      <c r="L19" s="162" t="s">
        <v>32</v>
      </c>
      <c r="M19" s="166">
        <f>Q15</f>
        <v>0.9</v>
      </c>
      <c r="N19" s="162" t="s">
        <v>32</v>
      </c>
      <c r="O19" s="167">
        <f>Q17</f>
        <v>1</v>
      </c>
      <c r="P19" s="168" t="s">
        <v>41</v>
      </c>
      <c r="Q19" s="169">
        <f>D19*G19*I19*K19*M19*O19</f>
        <v>41.594484375</v>
      </c>
    </row>
    <row r="20" spans="1:17" ht="16.5" customHeight="1">
      <c r="A20" s="310"/>
      <c r="B20" s="159" t="s">
        <v>220</v>
      </c>
      <c r="C20" s="159"/>
      <c r="D20" s="160">
        <f>Q6</f>
        <v>15</v>
      </c>
      <c r="E20" s="161" t="s">
        <v>41</v>
      </c>
      <c r="F20" s="162" t="s">
        <v>32</v>
      </c>
      <c r="G20" s="163">
        <f>G19</f>
        <v>8.6995000000000005</v>
      </c>
      <c r="H20" s="162" t="s">
        <v>32</v>
      </c>
      <c r="I20" s="164">
        <f>I19</f>
        <v>1.25</v>
      </c>
      <c r="J20" s="162" t="s">
        <v>32</v>
      </c>
      <c r="K20" s="165">
        <f>K19</f>
        <v>1</v>
      </c>
      <c r="L20" s="162" t="s">
        <v>32</v>
      </c>
      <c r="M20" s="166">
        <f>M19</f>
        <v>0.9</v>
      </c>
      <c r="N20" s="162" t="s">
        <v>32</v>
      </c>
      <c r="O20" s="167">
        <f>O19</f>
        <v>1</v>
      </c>
      <c r="P20" s="168" t="s">
        <v>41</v>
      </c>
      <c r="Q20" s="169">
        <f>D20*G20*I20*K20*M20*O20</f>
        <v>146.80406250000001</v>
      </c>
    </row>
    <row r="21" spans="1:17" ht="16.5" customHeight="1">
      <c r="A21" s="310"/>
      <c r="B21" s="159" t="s">
        <v>180</v>
      </c>
      <c r="C21" s="159"/>
      <c r="D21" s="160">
        <f>Q7</f>
        <v>15</v>
      </c>
      <c r="E21" s="161" t="s">
        <v>41</v>
      </c>
      <c r="F21" s="162" t="s">
        <v>32</v>
      </c>
      <c r="G21" s="163">
        <f>G19</f>
        <v>8.6995000000000005</v>
      </c>
      <c r="H21" s="162" t="s">
        <v>32</v>
      </c>
      <c r="I21" s="164">
        <f>I19</f>
        <v>1.25</v>
      </c>
      <c r="J21" s="162" t="s">
        <v>32</v>
      </c>
      <c r="K21" s="165">
        <f>K19</f>
        <v>1</v>
      </c>
      <c r="L21" s="162" t="s">
        <v>32</v>
      </c>
      <c r="M21" s="166">
        <f>M19</f>
        <v>0.9</v>
      </c>
      <c r="N21" s="162" t="s">
        <v>32</v>
      </c>
      <c r="O21" s="167">
        <f>O19</f>
        <v>1</v>
      </c>
      <c r="P21" s="168" t="s">
        <v>41</v>
      </c>
      <c r="Q21" s="169">
        <f>D21*G21*I21*K21*M21*O21</f>
        <v>146.80406250000001</v>
      </c>
    </row>
    <row r="22" spans="1:17" ht="16.5" customHeight="1">
      <c r="A22" s="310"/>
      <c r="B22" s="159" t="s">
        <v>168</v>
      </c>
      <c r="C22" s="159"/>
      <c r="D22" s="160">
        <f>Q8</f>
        <v>7</v>
      </c>
      <c r="E22" s="161" t="s">
        <v>41</v>
      </c>
      <c r="F22" s="162" t="s">
        <v>32</v>
      </c>
      <c r="G22" s="163">
        <f>G19</f>
        <v>8.6995000000000005</v>
      </c>
      <c r="H22" s="162" t="s">
        <v>32</v>
      </c>
      <c r="I22" s="164">
        <f>I19</f>
        <v>1.25</v>
      </c>
      <c r="J22" s="162" t="s">
        <v>32</v>
      </c>
      <c r="K22" s="165">
        <f>K19</f>
        <v>1</v>
      </c>
      <c r="L22" s="162" t="s">
        <v>32</v>
      </c>
      <c r="M22" s="166">
        <f>M19</f>
        <v>0.9</v>
      </c>
      <c r="N22" s="162" t="s">
        <v>32</v>
      </c>
      <c r="O22" s="167">
        <f>O19</f>
        <v>1</v>
      </c>
      <c r="P22" s="168" t="s">
        <v>41</v>
      </c>
      <c r="Q22" s="169">
        <f>D22*G22*I22*K22*M22*O22</f>
        <v>68.508562500000011</v>
      </c>
    </row>
    <row r="23" spans="1:17" ht="16.5" customHeight="1">
      <c r="A23" s="310"/>
      <c r="B23" s="159" t="s">
        <v>222</v>
      </c>
      <c r="C23" s="159"/>
      <c r="D23" s="160">
        <f>Q9</f>
        <v>7</v>
      </c>
      <c r="E23" s="161" t="s">
        <v>41</v>
      </c>
      <c r="F23" s="162" t="s">
        <v>32</v>
      </c>
      <c r="G23" s="163">
        <f>G19</f>
        <v>8.6995000000000005</v>
      </c>
      <c r="H23" s="162" t="s">
        <v>32</v>
      </c>
      <c r="I23" s="164">
        <f>I19</f>
        <v>1.25</v>
      </c>
      <c r="J23" s="162" t="s">
        <v>32</v>
      </c>
      <c r="K23" s="165">
        <f>K19</f>
        <v>1</v>
      </c>
      <c r="L23" s="162" t="s">
        <v>32</v>
      </c>
      <c r="M23" s="166">
        <f>M19</f>
        <v>0.9</v>
      </c>
      <c r="N23" s="162" t="s">
        <v>32</v>
      </c>
      <c r="O23" s="167">
        <f>O19</f>
        <v>1</v>
      </c>
      <c r="P23" s="168" t="s">
        <v>41</v>
      </c>
      <c r="Q23" s="169">
        <f>D23*G23*I23*K23*M23*O23</f>
        <v>68.508562500000011</v>
      </c>
    </row>
    <row r="24" spans="1:17" ht="16.5" customHeight="1">
      <c r="A24" s="323" t="s">
        <v>103</v>
      </c>
      <c r="B24" s="326" t="s">
        <v>119</v>
      </c>
      <c r="C24" s="326"/>
      <c r="D24" s="326"/>
      <c r="E24" s="326"/>
      <c r="F24" s="326"/>
      <c r="G24" s="326"/>
      <c r="H24" s="326"/>
      <c r="I24" s="326"/>
      <c r="J24" s="326"/>
      <c r="K24" s="326"/>
      <c r="L24" s="326"/>
      <c r="M24" s="326"/>
      <c r="N24" s="326"/>
      <c r="O24" s="326"/>
      <c r="P24" s="326"/>
      <c r="Q24" s="326"/>
    </row>
    <row r="25" spans="1:17" ht="16.5" customHeight="1">
      <c r="A25" s="324"/>
      <c r="B25" s="327" t="s">
        <v>193</v>
      </c>
      <c r="C25" s="327"/>
      <c r="D25" s="327"/>
      <c r="E25" s="327"/>
      <c r="F25" s="327"/>
      <c r="G25" s="327"/>
      <c r="H25" s="327"/>
      <c r="I25" s="327"/>
      <c r="J25" s="327"/>
      <c r="K25" s="327"/>
      <c r="L25" s="327"/>
      <c r="M25" s="327"/>
      <c r="N25" s="327"/>
      <c r="O25" s="327"/>
      <c r="P25" s="168"/>
      <c r="Q25" s="169">
        <v>0</v>
      </c>
    </row>
    <row r="26" spans="1:17" ht="16.5" customHeight="1">
      <c r="A26" s="324"/>
      <c r="B26" s="327" t="s">
        <v>177</v>
      </c>
      <c r="C26" s="327"/>
      <c r="D26" s="327"/>
      <c r="E26" s="327"/>
      <c r="F26" s="327"/>
      <c r="G26" s="327"/>
      <c r="H26" s="327"/>
      <c r="I26" s="327"/>
      <c r="J26" s="327"/>
      <c r="K26" s="327"/>
      <c r="L26" s="327"/>
      <c r="M26" s="327"/>
      <c r="N26" s="327"/>
      <c r="O26" s="327"/>
      <c r="P26" s="168"/>
      <c r="Q26" s="169">
        <v>0</v>
      </c>
    </row>
    <row r="27" spans="1:17" ht="16.5" customHeight="1">
      <c r="A27" s="324"/>
      <c r="B27" s="327" t="s">
        <v>207</v>
      </c>
      <c r="C27" s="327"/>
      <c r="D27" s="327"/>
      <c r="E27" s="327"/>
      <c r="F27" s="327"/>
      <c r="G27" s="327"/>
      <c r="H27" s="327"/>
      <c r="I27" s="327"/>
      <c r="J27" s="327"/>
      <c r="K27" s="327"/>
      <c r="L27" s="327"/>
      <c r="M27" s="327"/>
      <c r="N27" s="327"/>
      <c r="O27" s="327"/>
      <c r="P27" s="168"/>
      <c r="Q27" s="169">
        <v>0</v>
      </c>
    </row>
    <row r="28" spans="1:17" ht="16.5" customHeight="1">
      <c r="A28" s="324"/>
      <c r="B28" s="326" t="s">
        <v>137</v>
      </c>
      <c r="C28" s="326"/>
      <c r="D28" s="326"/>
      <c r="E28" s="326"/>
      <c r="F28" s="326"/>
      <c r="G28" s="326"/>
      <c r="H28" s="326"/>
      <c r="I28" s="326"/>
      <c r="J28" s="326"/>
      <c r="K28" s="326"/>
      <c r="L28" s="326"/>
      <c r="M28" s="326"/>
      <c r="N28" s="326"/>
      <c r="O28" s="326"/>
      <c r="P28" s="326"/>
      <c r="Q28" s="326"/>
    </row>
    <row r="29" spans="1:17" ht="16.5" customHeight="1">
      <c r="A29" s="324"/>
      <c r="B29" s="159" t="s">
        <v>139</v>
      </c>
      <c r="C29" s="169">
        <f>Q11</f>
        <v>1.25</v>
      </c>
      <c r="D29" s="328"/>
      <c r="E29" s="328"/>
      <c r="F29" s="328"/>
      <c r="G29" s="328"/>
      <c r="H29" s="328"/>
      <c r="I29" s="328"/>
      <c r="J29" s="328"/>
      <c r="K29" s="328"/>
      <c r="L29" s="328"/>
      <c r="M29" s="328"/>
      <c r="N29" s="328"/>
      <c r="O29" s="328"/>
      <c r="P29" s="168"/>
      <c r="Q29" s="169">
        <f>C29</f>
        <v>1.25</v>
      </c>
    </row>
    <row r="30" spans="1:17" ht="16.5" customHeight="1">
      <c r="A30" s="324"/>
      <c r="B30" s="159" t="s">
        <v>87</v>
      </c>
      <c r="C30" s="169">
        <f>Q13</f>
        <v>1</v>
      </c>
      <c r="D30" s="328"/>
      <c r="E30" s="328"/>
      <c r="F30" s="328"/>
      <c r="G30" s="328"/>
      <c r="H30" s="328"/>
      <c r="I30" s="328"/>
      <c r="J30" s="328"/>
      <c r="K30" s="328"/>
      <c r="L30" s="328"/>
      <c r="M30" s="328"/>
      <c r="N30" s="328"/>
      <c r="O30" s="328"/>
      <c r="P30" s="168"/>
      <c r="Q30" s="169">
        <f>C30</f>
        <v>1</v>
      </c>
    </row>
    <row r="31" spans="1:17" ht="16.5" customHeight="1">
      <c r="A31" s="324"/>
      <c r="B31" s="159" t="s">
        <v>107</v>
      </c>
      <c r="C31" s="169">
        <f>Q15</f>
        <v>0.9</v>
      </c>
      <c r="D31" s="328"/>
      <c r="E31" s="328"/>
      <c r="F31" s="328"/>
      <c r="G31" s="328"/>
      <c r="H31" s="328"/>
      <c r="I31" s="328"/>
      <c r="J31" s="328"/>
      <c r="K31" s="328"/>
      <c r="L31" s="328"/>
      <c r="M31" s="328"/>
      <c r="N31" s="328"/>
      <c r="O31" s="328"/>
      <c r="P31" s="168"/>
      <c r="Q31" s="169">
        <f>C31</f>
        <v>0.9</v>
      </c>
    </row>
    <row r="32" spans="1:17" ht="16.5" customHeight="1">
      <c r="A32" s="324"/>
      <c r="B32" s="159" t="s">
        <v>111</v>
      </c>
      <c r="C32" s="169">
        <f>Q17</f>
        <v>1</v>
      </c>
      <c r="D32" s="330"/>
      <c r="E32" s="331"/>
      <c r="F32" s="331"/>
      <c r="G32" s="331"/>
      <c r="H32" s="331"/>
      <c r="I32" s="331"/>
      <c r="J32" s="331"/>
      <c r="K32" s="331"/>
      <c r="L32" s="331"/>
      <c r="M32" s="331"/>
      <c r="N32" s="331"/>
      <c r="O32" s="332"/>
      <c r="P32" s="168"/>
      <c r="Q32" s="169">
        <f>C32</f>
        <v>1</v>
      </c>
    </row>
    <row r="33" spans="1:20" ht="16.5" customHeight="1">
      <c r="A33" s="324"/>
      <c r="B33" s="326" t="s">
        <v>133</v>
      </c>
      <c r="C33" s="326"/>
      <c r="D33" s="326"/>
      <c r="E33" s="326"/>
      <c r="F33" s="326"/>
      <c r="G33" s="326"/>
      <c r="H33" s="326"/>
      <c r="I33" s="326"/>
      <c r="J33" s="326"/>
      <c r="K33" s="326"/>
      <c r="L33" s="326"/>
      <c r="M33" s="326"/>
      <c r="N33" s="326"/>
      <c r="O33" s="326"/>
      <c r="P33" s="326"/>
      <c r="Q33" s="326"/>
    </row>
    <row r="34" spans="1:20" ht="16.5" customHeight="1">
      <c r="A34" s="324"/>
      <c r="B34" s="159" t="s">
        <v>199</v>
      </c>
      <c r="C34" s="159"/>
      <c r="D34" s="170">
        <f>Q25</f>
        <v>0</v>
      </c>
      <c r="E34" s="161" t="s">
        <v>41</v>
      </c>
      <c r="F34" s="162" t="s">
        <v>32</v>
      </c>
      <c r="G34" s="163">
        <f>G19</f>
        <v>8.6995000000000005</v>
      </c>
      <c r="H34" s="162" t="s">
        <v>32</v>
      </c>
      <c r="I34" s="166">
        <f>Q11</f>
        <v>1.25</v>
      </c>
      <c r="J34" s="162" t="s">
        <v>32</v>
      </c>
      <c r="K34" s="166">
        <f>Q13</f>
        <v>1</v>
      </c>
      <c r="L34" s="162" t="s">
        <v>32</v>
      </c>
      <c r="M34" s="166">
        <f>Q15</f>
        <v>0.9</v>
      </c>
      <c r="N34" s="162" t="s">
        <v>32</v>
      </c>
      <c r="O34" s="167">
        <f>Q17</f>
        <v>1</v>
      </c>
      <c r="P34" s="168" t="s">
        <v>41</v>
      </c>
      <c r="Q34" s="169">
        <f>D34*G34*I34*K34*M34*O34</f>
        <v>0</v>
      </c>
    </row>
    <row r="35" spans="1:20" ht="16.5" customHeight="1">
      <c r="A35" s="324"/>
      <c r="B35" s="159" t="s">
        <v>181</v>
      </c>
      <c r="C35" s="159"/>
      <c r="D35" s="170">
        <f>Q26</f>
        <v>0</v>
      </c>
      <c r="E35" s="161" t="s">
        <v>41</v>
      </c>
      <c r="F35" s="162" t="s">
        <v>32</v>
      </c>
      <c r="G35" s="163">
        <f>G19</f>
        <v>8.6995000000000005</v>
      </c>
      <c r="H35" s="162" t="s">
        <v>32</v>
      </c>
      <c r="I35" s="166">
        <f>I34</f>
        <v>1.25</v>
      </c>
      <c r="J35" s="162" t="s">
        <v>32</v>
      </c>
      <c r="K35" s="166">
        <f>K34</f>
        <v>1</v>
      </c>
      <c r="L35" s="162" t="s">
        <v>32</v>
      </c>
      <c r="M35" s="166">
        <f>M34</f>
        <v>0.9</v>
      </c>
      <c r="N35" s="162" t="s">
        <v>32</v>
      </c>
      <c r="O35" s="167">
        <f>O34</f>
        <v>1</v>
      </c>
      <c r="P35" s="168" t="s">
        <v>41</v>
      </c>
      <c r="Q35" s="169">
        <f>D35*G35*I35*K35*M35*O35</f>
        <v>0</v>
      </c>
    </row>
    <row r="36" spans="1:20" ht="16.5" customHeight="1">
      <c r="A36" s="325"/>
      <c r="B36" s="159" t="s">
        <v>180</v>
      </c>
      <c r="C36" s="159"/>
      <c r="D36" s="170">
        <f>Q27</f>
        <v>0</v>
      </c>
      <c r="E36" s="161" t="s">
        <v>41</v>
      </c>
      <c r="F36" s="162" t="s">
        <v>32</v>
      </c>
      <c r="G36" s="163">
        <f>G19</f>
        <v>8.6995000000000005</v>
      </c>
      <c r="H36" s="162" t="s">
        <v>32</v>
      </c>
      <c r="I36" s="166">
        <f>I34</f>
        <v>1.25</v>
      </c>
      <c r="J36" s="162" t="s">
        <v>32</v>
      </c>
      <c r="K36" s="166">
        <f>K34</f>
        <v>1</v>
      </c>
      <c r="L36" s="162" t="s">
        <v>32</v>
      </c>
      <c r="M36" s="166">
        <f>M34</f>
        <v>0.9</v>
      </c>
      <c r="N36" s="162" t="s">
        <v>32</v>
      </c>
      <c r="O36" s="167">
        <f>O34</f>
        <v>1</v>
      </c>
      <c r="P36" s="168" t="s">
        <v>41</v>
      </c>
      <c r="Q36" s="169">
        <f>D36*G36*I36*K36*M36*O36</f>
        <v>0</v>
      </c>
    </row>
    <row r="37" spans="1:20" ht="16.5" customHeight="1">
      <c r="A37" s="310" t="s">
        <v>170</v>
      </c>
      <c r="B37" s="327" t="s">
        <v>166</v>
      </c>
      <c r="C37" s="327"/>
      <c r="D37" s="327"/>
      <c r="E37" s="327"/>
      <c r="F37" s="327"/>
      <c r="G37" s="327"/>
      <c r="H37" s="327"/>
      <c r="I37" s="327"/>
      <c r="J37" s="327"/>
      <c r="K37" s="327"/>
      <c r="L37" s="327"/>
      <c r="M37" s="327"/>
      <c r="N37" s="327"/>
      <c r="O37" s="327"/>
      <c r="P37" s="168" t="s">
        <v>41</v>
      </c>
      <c r="Q37" s="169">
        <f>ROUND(Q19+Q34,2)</f>
        <v>41.59</v>
      </c>
      <c r="S37" s="48" t="s">
        <v>116</v>
      </c>
      <c r="T37" s="49"/>
    </row>
    <row r="38" spans="1:20" ht="16.5" customHeight="1">
      <c r="A38" s="333"/>
      <c r="B38" s="327" t="s">
        <v>182</v>
      </c>
      <c r="C38" s="327"/>
      <c r="D38" s="327"/>
      <c r="E38" s="327"/>
      <c r="F38" s="327"/>
      <c r="G38" s="327"/>
      <c r="H38" s="327"/>
      <c r="I38" s="327"/>
      <c r="J38" s="327"/>
      <c r="K38" s="327"/>
      <c r="L38" s="327"/>
      <c r="M38" s="327"/>
      <c r="N38" s="327"/>
      <c r="O38" s="327"/>
      <c r="P38" s="168" t="s">
        <v>41</v>
      </c>
      <c r="Q38" s="169">
        <f>ROUND(Q20+Q35,2)</f>
        <v>146.80000000000001</v>
      </c>
      <c r="S38" s="50" t="s">
        <v>239</v>
      </c>
      <c r="T38" s="50"/>
    </row>
    <row r="39" spans="1:20" ht="16.5" customHeight="1">
      <c r="A39" s="333"/>
      <c r="B39" s="312" t="s">
        <v>185</v>
      </c>
      <c r="C39" s="312"/>
      <c r="D39" s="312"/>
      <c r="E39" s="312"/>
      <c r="F39" s="312"/>
      <c r="G39" s="312"/>
      <c r="H39" s="312"/>
      <c r="I39" s="312"/>
      <c r="J39" s="312"/>
      <c r="K39" s="312"/>
      <c r="L39" s="312"/>
      <c r="M39" s="312"/>
      <c r="N39" s="312"/>
      <c r="O39" s="312"/>
      <c r="P39" s="150" t="s">
        <v>41</v>
      </c>
      <c r="Q39" s="151">
        <f>ROUND(Q21+Q36,2)</f>
        <v>146.80000000000001</v>
      </c>
      <c r="S39" s="50"/>
      <c r="T39" s="50"/>
    </row>
    <row r="40" spans="1:20" ht="16.5" customHeight="1">
      <c r="A40" s="333"/>
      <c r="B40" s="312" t="s">
        <v>174</v>
      </c>
      <c r="C40" s="312"/>
      <c r="D40" s="312"/>
      <c r="E40" s="312"/>
      <c r="F40" s="312"/>
      <c r="G40" s="312"/>
      <c r="H40" s="312"/>
      <c r="I40" s="312"/>
      <c r="J40" s="312"/>
      <c r="K40" s="312"/>
      <c r="L40" s="312"/>
      <c r="M40" s="312"/>
      <c r="N40" s="312"/>
      <c r="O40" s="312"/>
      <c r="P40" s="150" t="s">
        <v>41</v>
      </c>
      <c r="Q40" s="151">
        <f>ROUND(Q22,2)</f>
        <v>68.510000000000005</v>
      </c>
      <c r="S40" s="51" t="s">
        <v>20</v>
      </c>
      <c r="T40" s="51" t="s">
        <v>31</v>
      </c>
    </row>
    <row r="41" spans="1:20" ht="16.5" customHeight="1">
      <c r="A41" s="333"/>
      <c r="B41" s="312" t="s">
        <v>201</v>
      </c>
      <c r="C41" s="312"/>
      <c r="D41" s="312"/>
      <c r="E41" s="312"/>
      <c r="F41" s="312"/>
      <c r="G41" s="312"/>
      <c r="H41" s="312"/>
      <c r="I41" s="312"/>
      <c r="J41" s="312"/>
      <c r="K41" s="312"/>
      <c r="L41" s="312"/>
      <c r="M41" s="312"/>
      <c r="N41" s="312"/>
      <c r="O41" s="312"/>
      <c r="P41" s="150" t="s">
        <v>41</v>
      </c>
      <c r="Q41" s="151">
        <f>ROUND(Q23,2)</f>
        <v>68.510000000000005</v>
      </c>
      <c r="S41" s="51" t="s">
        <v>131</v>
      </c>
      <c r="T41" s="52">
        <v>218088</v>
      </c>
    </row>
    <row r="42" spans="1:20" ht="16.5" customHeight="1">
      <c r="A42" s="323" t="s">
        <v>95</v>
      </c>
      <c r="B42" s="152" t="s">
        <v>198</v>
      </c>
      <c r="C42" s="329">
        <f>T41</f>
        <v>218088</v>
      </c>
      <c r="D42" s="329"/>
      <c r="E42" s="171"/>
      <c r="F42" s="172"/>
      <c r="G42" s="173"/>
      <c r="H42" s="172"/>
      <c r="I42" s="171"/>
      <c r="J42" s="172"/>
      <c r="K42" s="171"/>
      <c r="L42" s="172"/>
      <c r="M42" s="171"/>
      <c r="N42" s="172"/>
      <c r="O42" s="171"/>
      <c r="P42" s="174" t="s">
        <v>36</v>
      </c>
      <c r="Q42" s="175">
        <f>INT(C42*Q37)</f>
        <v>9070279</v>
      </c>
      <c r="S42" s="51" t="s">
        <v>108</v>
      </c>
      <c r="T42" s="52">
        <v>189335</v>
      </c>
    </row>
    <row r="43" spans="1:20" ht="16.5" customHeight="1">
      <c r="A43" s="324"/>
      <c r="B43" s="152" t="s">
        <v>165</v>
      </c>
      <c r="C43" s="329">
        <f>T42</f>
        <v>189335</v>
      </c>
      <c r="D43" s="329"/>
      <c r="E43" s="171"/>
      <c r="F43" s="172"/>
      <c r="G43" s="173"/>
      <c r="H43" s="172"/>
      <c r="I43" s="171"/>
      <c r="J43" s="172"/>
      <c r="K43" s="171"/>
      <c r="L43" s="172"/>
      <c r="M43" s="171"/>
      <c r="N43" s="172"/>
      <c r="O43" s="171"/>
      <c r="P43" s="174" t="s">
        <v>36</v>
      </c>
      <c r="Q43" s="175">
        <f>INT(C43*Q38)</f>
        <v>27794378</v>
      </c>
      <c r="S43" s="51" t="s">
        <v>124</v>
      </c>
      <c r="T43" s="52">
        <v>158319</v>
      </c>
    </row>
    <row r="44" spans="1:20" ht="16.5" customHeight="1">
      <c r="A44" s="324"/>
      <c r="B44" s="152" t="s">
        <v>164</v>
      </c>
      <c r="C44" s="329">
        <f>T43</f>
        <v>158319</v>
      </c>
      <c r="D44" s="329"/>
      <c r="E44" s="176"/>
      <c r="F44" s="177"/>
      <c r="G44" s="176"/>
      <c r="H44" s="177"/>
      <c r="I44" s="176"/>
      <c r="J44" s="177"/>
      <c r="K44" s="176"/>
      <c r="L44" s="177"/>
      <c r="M44" s="176"/>
      <c r="N44" s="177"/>
      <c r="O44" s="176"/>
      <c r="P44" s="174" t="s">
        <v>36</v>
      </c>
      <c r="Q44" s="175">
        <f>INT(C44*Q39)</f>
        <v>23241229</v>
      </c>
      <c r="S44" s="51" t="s">
        <v>176</v>
      </c>
      <c r="T44" s="52">
        <v>142459</v>
      </c>
    </row>
    <row r="45" spans="1:20" ht="16.5" customHeight="1">
      <c r="A45" s="324"/>
      <c r="B45" s="152" t="s">
        <v>167</v>
      </c>
      <c r="C45" s="329">
        <f>T44</f>
        <v>142459</v>
      </c>
      <c r="D45" s="329"/>
      <c r="E45" s="176"/>
      <c r="F45" s="177"/>
      <c r="G45" s="176"/>
      <c r="H45" s="177"/>
      <c r="I45" s="176"/>
      <c r="J45" s="177"/>
      <c r="K45" s="176"/>
      <c r="L45" s="177"/>
      <c r="M45" s="176"/>
      <c r="N45" s="177"/>
      <c r="O45" s="176"/>
      <c r="P45" s="174" t="s">
        <v>36</v>
      </c>
      <c r="Q45" s="175">
        <f>INT(C45*Q40)</f>
        <v>9759866</v>
      </c>
      <c r="S45" s="51" t="s">
        <v>150</v>
      </c>
      <c r="T45" s="52">
        <v>148510</v>
      </c>
    </row>
    <row r="46" spans="1:20" ht="16.5" customHeight="1">
      <c r="A46" s="325"/>
      <c r="B46" s="152" t="s">
        <v>215</v>
      </c>
      <c r="C46" s="329">
        <f>T45</f>
        <v>148510</v>
      </c>
      <c r="D46" s="329"/>
      <c r="E46" s="176"/>
      <c r="F46" s="177"/>
      <c r="G46" s="176"/>
      <c r="H46" s="177"/>
      <c r="I46" s="176"/>
      <c r="J46" s="177"/>
      <c r="K46" s="176"/>
      <c r="L46" s="177"/>
      <c r="M46" s="176"/>
      <c r="N46" s="177"/>
      <c r="O46" s="176"/>
      <c r="P46" s="174" t="s">
        <v>36</v>
      </c>
      <c r="Q46" s="175">
        <f>INT(C46*Q41)</f>
        <v>10174420</v>
      </c>
    </row>
    <row r="47" spans="1:20" ht="16.5" customHeight="1">
      <c r="A47" s="334" t="s">
        <v>44</v>
      </c>
      <c r="B47" s="334"/>
      <c r="C47" s="334"/>
      <c r="D47" s="334"/>
      <c r="E47" s="334"/>
      <c r="F47" s="334"/>
      <c r="G47" s="334"/>
      <c r="H47" s="334"/>
      <c r="I47" s="334"/>
      <c r="J47" s="334"/>
      <c r="K47" s="334"/>
      <c r="L47" s="334"/>
      <c r="M47" s="334"/>
      <c r="N47" s="334"/>
      <c r="O47" s="334"/>
      <c r="P47" s="174"/>
      <c r="Q47" s="175">
        <f>(Q42+Q43+Q44+Q45+Q46)</f>
        <v>80040172</v>
      </c>
    </row>
    <row r="48" spans="1:20" ht="5.25" customHeight="1">
      <c r="A48" s="335"/>
      <c r="B48" s="335"/>
      <c r="C48" s="335"/>
      <c r="D48" s="335"/>
      <c r="E48" s="335"/>
      <c r="F48" s="335"/>
      <c r="G48" s="335"/>
      <c r="H48" s="335"/>
      <c r="I48" s="335"/>
      <c r="J48" s="335"/>
      <c r="K48" s="335"/>
      <c r="L48" s="335"/>
      <c r="M48" s="335"/>
      <c r="N48" s="335"/>
      <c r="O48" s="335"/>
      <c r="P48" s="335"/>
      <c r="Q48" s="335"/>
    </row>
    <row r="49" spans="1:17" ht="16.5" customHeight="1">
      <c r="A49" s="178" t="s">
        <v>122</v>
      </c>
      <c r="B49" s="179" t="s">
        <v>234</v>
      </c>
      <c r="C49" s="179"/>
      <c r="D49" s="180"/>
      <c r="E49" s="179"/>
      <c r="F49" s="181"/>
      <c r="G49" s="180"/>
      <c r="H49" s="181"/>
      <c r="I49" s="179"/>
      <c r="J49" s="181"/>
      <c r="K49" s="179"/>
      <c r="L49" s="181"/>
      <c r="M49" s="179"/>
      <c r="N49" s="181"/>
      <c r="O49" s="180"/>
      <c r="P49" s="174" t="s">
        <v>36</v>
      </c>
      <c r="Q49" s="175">
        <f>INT(Q47*1.1)</f>
        <v>88044189</v>
      </c>
    </row>
    <row r="50" spans="1:17" ht="3.75" customHeight="1">
      <c r="A50" s="336"/>
      <c r="B50" s="336"/>
      <c r="C50" s="336"/>
      <c r="D50" s="336"/>
      <c r="E50" s="336"/>
      <c r="F50" s="336"/>
      <c r="G50" s="336"/>
      <c r="H50" s="336"/>
      <c r="I50" s="336"/>
      <c r="J50" s="336"/>
      <c r="K50" s="336"/>
      <c r="L50" s="336"/>
      <c r="M50" s="336"/>
      <c r="N50" s="336"/>
      <c r="O50" s="336"/>
      <c r="P50" s="336"/>
      <c r="Q50" s="336"/>
    </row>
    <row r="51" spans="1:17" ht="16.5" customHeight="1">
      <c r="A51" s="178" t="s">
        <v>120</v>
      </c>
      <c r="B51" s="337" t="s">
        <v>2</v>
      </c>
      <c r="C51" s="337"/>
      <c r="D51" s="337"/>
      <c r="E51" s="337"/>
      <c r="F51" s="337"/>
      <c r="G51" s="337"/>
      <c r="H51" s="337"/>
      <c r="I51" s="337"/>
      <c r="J51" s="337"/>
      <c r="K51" s="337"/>
      <c r="L51" s="337"/>
      <c r="M51" s="337"/>
      <c r="N51" s="337"/>
      <c r="O51" s="337"/>
      <c r="P51" s="174" t="s">
        <v>36</v>
      </c>
      <c r="Q51" s="175">
        <f>INT((Q47+Q49)*0.2)</f>
        <v>33616872</v>
      </c>
    </row>
    <row r="52" spans="1:17" ht="16.5" customHeight="1">
      <c r="A52" s="334" t="s">
        <v>217</v>
      </c>
      <c r="B52" s="334"/>
      <c r="C52" s="334"/>
      <c r="D52" s="334"/>
      <c r="E52" s="334"/>
      <c r="F52" s="334"/>
      <c r="G52" s="334"/>
      <c r="H52" s="334"/>
      <c r="I52" s="334"/>
      <c r="J52" s="334"/>
      <c r="K52" s="334"/>
      <c r="L52" s="334"/>
      <c r="M52" s="334"/>
      <c r="N52" s="334"/>
      <c r="O52" s="334"/>
      <c r="P52" s="174" t="s">
        <v>36</v>
      </c>
      <c r="Q52" s="182">
        <f>ROUNDDOWN((Q47+Q49+Q51),-3)</f>
        <v>201701000</v>
      </c>
    </row>
    <row r="53" spans="1:17" ht="16.5" customHeight="1">
      <c r="A53" s="183" t="s">
        <v>123</v>
      </c>
      <c r="B53" s="184" t="s">
        <v>7</v>
      </c>
      <c r="C53" s="184"/>
      <c r="D53" s="184"/>
      <c r="E53" s="183"/>
      <c r="F53" s="183"/>
      <c r="G53" s="183"/>
      <c r="H53" s="183"/>
      <c r="I53" s="183"/>
      <c r="J53" s="183"/>
      <c r="K53" s="183"/>
      <c r="L53" s="183"/>
      <c r="M53" s="183"/>
      <c r="N53" s="183"/>
      <c r="O53" s="183"/>
      <c r="P53" s="183"/>
      <c r="Q53" s="183"/>
    </row>
    <row r="54" spans="1:17" ht="16.5" customHeight="1">
      <c r="A54" s="183"/>
      <c r="B54" s="184" t="s">
        <v>8</v>
      </c>
      <c r="C54" s="184"/>
      <c r="D54" s="184"/>
      <c r="E54" s="183"/>
      <c r="F54" s="183"/>
      <c r="G54" s="183"/>
      <c r="H54" s="183"/>
      <c r="I54" s="183"/>
      <c r="J54" s="183"/>
      <c r="K54" s="183"/>
      <c r="L54" s="183"/>
      <c r="M54" s="183"/>
      <c r="N54" s="183"/>
      <c r="O54" s="183"/>
      <c r="P54" s="183"/>
      <c r="Q54" s="183"/>
    </row>
    <row r="55" spans="1:17" ht="16.5" customHeight="1">
      <c r="A55" s="183"/>
      <c r="B55" s="184" t="s">
        <v>17</v>
      </c>
      <c r="C55" s="184"/>
      <c r="D55" s="184"/>
      <c r="E55" s="183"/>
      <c r="F55" s="183"/>
      <c r="G55" s="183"/>
      <c r="H55" s="183"/>
      <c r="I55" s="183"/>
      <c r="J55" s="183"/>
      <c r="K55" s="183"/>
      <c r="L55" s="183"/>
      <c r="M55" s="183"/>
      <c r="N55" s="183"/>
      <c r="O55" s="183"/>
      <c r="P55" s="183"/>
      <c r="Q55" s="183"/>
    </row>
    <row r="56" spans="1:17" ht="16.5" customHeight="1">
      <c r="A56" s="183"/>
      <c r="B56" s="184" t="s">
        <v>13</v>
      </c>
      <c r="C56" s="184"/>
      <c r="D56" s="184"/>
      <c r="E56" s="183"/>
      <c r="F56" s="183"/>
      <c r="G56" s="183"/>
      <c r="H56" s="183"/>
      <c r="I56" s="183"/>
      <c r="J56" s="183"/>
      <c r="K56" s="183"/>
      <c r="L56" s="183"/>
      <c r="M56" s="183"/>
      <c r="N56" s="183"/>
      <c r="O56" s="183"/>
      <c r="P56" s="183"/>
      <c r="Q56" s="183"/>
    </row>
    <row r="57" spans="1:17" ht="16.5" customHeight="1">
      <c r="A57" s="183"/>
      <c r="B57" s="185" t="s">
        <v>6</v>
      </c>
      <c r="C57" s="184"/>
      <c r="D57" s="186"/>
      <c r="E57" s="186"/>
      <c r="F57" s="187"/>
      <c r="G57" s="186"/>
      <c r="H57" s="187"/>
      <c r="I57" s="186"/>
      <c r="J57" s="187"/>
      <c r="K57" s="186"/>
      <c r="L57" s="187"/>
      <c r="M57" s="186"/>
      <c r="N57" s="187"/>
      <c r="O57" s="186"/>
      <c r="P57" s="188"/>
      <c r="Q57" s="189"/>
    </row>
  </sheetData>
  <mergeCells count="48">
    <mergeCell ref="A47:O47"/>
    <mergeCell ref="A48:Q48"/>
    <mergeCell ref="A50:Q50"/>
    <mergeCell ref="B51:O51"/>
    <mergeCell ref="A52:O52"/>
    <mergeCell ref="C46:D46"/>
    <mergeCell ref="D32:O32"/>
    <mergeCell ref="B33:Q33"/>
    <mergeCell ref="A37:A41"/>
    <mergeCell ref="B37:O37"/>
    <mergeCell ref="B38:O38"/>
    <mergeCell ref="B39:O39"/>
    <mergeCell ref="B40:O40"/>
    <mergeCell ref="B41:O41"/>
    <mergeCell ref="A42:A46"/>
    <mergeCell ref="C42:D42"/>
    <mergeCell ref="C43:D43"/>
    <mergeCell ref="C44:D44"/>
    <mergeCell ref="C45:D45"/>
    <mergeCell ref="D17:P17"/>
    <mergeCell ref="I15:K15"/>
    <mergeCell ref="O15:P15"/>
    <mergeCell ref="B18:Q18"/>
    <mergeCell ref="A24:A36"/>
    <mergeCell ref="B24:Q24"/>
    <mergeCell ref="B25:O25"/>
    <mergeCell ref="B26:O26"/>
    <mergeCell ref="B27:O27"/>
    <mergeCell ref="B28:Q28"/>
    <mergeCell ref="D29:O29"/>
    <mergeCell ref="D30:O30"/>
    <mergeCell ref="D31:O31"/>
    <mergeCell ref="A1:Q2"/>
    <mergeCell ref="B3:O3"/>
    <mergeCell ref="A4:A23"/>
    <mergeCell ref="B4:Q4"/>
    <mergeCell ref="B5:O5"/>
    <mergeCell ref="B6:O6"/>
    <mergeCell ref="B7:O7"/>
    <mergeCell ref="B8:O8"/>
    <mergeCell ref="B9:O9"/>
    <mergeCell ref="B10:Q10"/>
    <mergeCell ref="D11:O11"/>
    <mergeCell ref="B12:Q12"/>
    <mergeCell ref="D13:O13"/>
    <mergeCell ref="B14:Q14"/>
    <mergeCell ref="C15:D15"/>
    <mergeCell ref="B16:Q16"/>
  </mergeCells>
  <phoneticPr fontId="33" type="noConversion"/>
  <pageMargins left="0.69972223043441772" right="0.69972223043441772" top="0.75" bottom="0.75" header="0.30000001192092896" footer="0.30000001192092896"/>
  <pageSetup paperSize="9" scale="74" orientation="portrait" r:id="rId1"/>
  <colBreaks count="1" manualBreakCount="1">
    <brk id="17" max="16383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7"/>
  <dimension ref="B1:K32"/>
  <sheetViews>
    <sheetView view="pageBreakPreview" zoomScaleNormal="100" zoomScaleSheetLayoutView="100" workbookViewId="0">
      <pane ySplit="3" topLeftCell="A4" activePane="bottomLeft" state="frozen"/>
      <selection pane="bottomLeft" activeCell="C23" sqref="C23"/>
    </sheetView>
  </sheetViews>
  <sheetFormatPr defaultColWidth="8" defaultRowHeight="12.75"/>
  <cols>
    <col min="1" max="1" width="0.625" style="4" customWidth="1"/>
    <col min="2" max="2" width="7.25" style="4" customWidth="1"/>
    <col min="3" max="3" width="21.625" style="4" customWidth="1"/>
    <col min="4" max="4" width="19.875" style="4" customWidth="1"/>
    <col min="5" max="5" width="12.625" style="4" customWidth="1"/>
    <col min="6" max="6" width="7.25" style="4" customWidth="1"/>
    <col min="7" max="7" width="14.5" style="4" customWidth="1"/>
    <col min="8" max="8" width="15" style="4" customWidth="1"/>
    <col min="9" max="9" width="15.125" style="4" customWidth="1"/>
    <col min="10" max="10" width="17.125" style="4" customWidth="1"/>
    <col min="11" max="11" width="12.625" style="4" customWidth="1"/>
    <col min="12" max="16384" width="8" style="4"/>
  </cols>
  <sheetData>
    <row r="1" spans="2:11" ht="24.95" customHeight="1">
      <c r="B1" s="338" t="s">
        <v>191</v>
      </c>
      <c r="C1" s="338"/>
      <c r="D1" s="338"/>
      <c r="E1" s="338"/>
      <c r="F1" s="338"/>
      <c r="G1" s="338"/>
      <c r="H1" s="338"/>
      <c r="I1" s="338"/>
      <c r="J1" s="338"/>
      <c r="K1" s="338"/>
    </row>
    <row r="2" spans="2:11" ht="18" customHeight="1">
      <c r="B2" s="5" t="e">
        <f>#REF!</f>
        <v>#REF!</v>
      </c>
      <c r="C2" s="6"/>
      <c r="D2" s="7"/>
      <c r="E2" s="7" t="s">
        <v>252</v>
      </c>
      <c r="F2" s="7"/>
      <c r="G2" s="7"/>
      <c r="H2" s="7"/>
      <c r="I2" s="7"/>
      <c r="J2" s="7"/>
      <c r="K2" s="7"/>
    </row>
    <row r="3" spans="2:11" ht="30.75" customHeight="1">
      <c r="B3" s="8" t="s">
        <v>27</v>
      </c>
      <c r="C3" s="9" t="s">
        <v>136</v>
      </c>
      <c r="D3" s="9" t="s">
        <v>146</v>
      </c>
      <c r="E3" s="9" t="s">
        <v>55</v>
      </c>
      <c r="F3" s="9" t="s">
        <v>26</v>
      </c>
      <c r="G3" s="9" t="s">
        <v>71</v>
      </c>
      <c r="H3" s="9" t="s">
        <v>40</v>
      </c>
      <c r="I3" s="9" t="s">
        <v>145</v>
      </c>
      <c r="J3" s="9" t="s">
        <v>126</v>
      </c>
      <c r="K3" s="10" t="s">
        <v>156</v>
      </c>
    </row>
    <row r="4" spans="2:11" ht="19.7" customHeight="1">
      <c r="B4" s="43" t="s">
        <v>53</v>
      </c>
      <c r="C4" s="35" t="s">
        <v>148</v>
      </c>
      <c r="D4" s="11"/>
      <c r="E4" s="12">
        <v>1</v>
      </c>
      <c r="F4" s="13" t="s">
        <v>57</v>
      </c>
      <c r="G4" s="36" t="e">
        <f>+#REF!</f>
        <v>#REF!</v>
      </c>
      <c r="H4" s="36" t="e">
        <f>+#REF!</f>
        <v>#REF!</v>
      </c>
      <c r="I4" s="36" t="e">
        <f>+#REF!</f>
        <v>#REF!</v>
      </c>
      <c r="J4" s="36" t="e">
        <f>H4+G4+I4</f>
        <v>#REF!</v>
      </c>
      <c r="K4" s="15" t="s">
        <v>47</v>
      </c>
    </row>
    <row r="5" spans="2:11" ht="19.7" customHeight="1">
      <c r="B5" s="44" t="s">
        <v>49</v>
      </c>
      <c r="C5" s="17" t="s">
        <v>143</v>
      </c>
      <c r="D5" s="17"/>
      <c r="E5" s="18">
        <v>1</v>
      </c>
      <c r="F5" s="19" t="s">
        <v>57</v>
      </c>
      <c r="G5" s="37" t="e">
        <f>+#REF!</f>
        <v>#REF!</v>
      </c>
      <c r="H5" s="37" t="e">
        <f>+#REF!</f>
        <v>#REF!</v>
      </c>
      <c r="I5" s="37" t="e">
        <f>+#REF!</f>
        <v>#REF!</v>
      </c>
      <c r="J5" s="37" t="e">
        <f>H5+G5+I5</f>
        <v>#REF!</v>
      </c>
      <c r="K5" s="21"/>
    </row>
    <row r="6" spans="2:11" ht="19.7" customHeight="1">
      <c r="B6" s="44" t="s">
        <v>66</v>
      </c>
      <c r="C6" s="17" t="s">
        <v>115</v>
      </c>
      <c r="D6" s="17"/>
      <c r="E6" s="18">
        <v>1</v>
      </c>
      <c r="F6" s="19" t="s">
        <v>57</v>
      </c>
      <c r="G6" s="37" t="e">
        <f>+#REF!</f>
        <v>#REF!</v>
      </c>
      <c r="H6" s="37" t="e">
        <f>+#REF!</f>
        <v>#REF!</v>
      </c>
      <c r="I6" s="37" t="e">
        <f>+#REF!</f>
        <v>#REF!</v>
      </c>
      <c r="J6" s="37" t="e">
        <f>H6+G6+I6</f>
        <v>#REF!</v>
      </c>
      <c r="K6" s="21"/>
    </row>
    <row r="7" spans="2:11" ht="19.7" customHeight="1">
      <c r="B7" s="16"/>
      <c r="C7" s="17"/>
      <c r="D7" s="17"/>
      <c r="E7" s="18"/>
      <c r="F7" s="19"/>
      <c r="G7" s="37"/>
      <c r="H7" s="37"/>
      <c r="I7" s="37"/>
      <c r="J7" s="37"/>
      <c r="K7" s="21"/>
    </row>
    <row r="8" spans="2:11" ht="19.7" customHeight="1">
      <c r="B8" s="16"/>
      <c r="C8" s="17"/>
      <c r="D8" s="17"/>
      <c r="E8" s="18"/>
      <c r="F8" s="19"/>
      <c r="G8" s="37"/>
      <c r="H8" s="37"/>
      <c r="I8" s="37"/>
      <c r="J8" s="37"/>
      <c r="K8" s="21"/>
    </row>
    <row r="9" spans="2:11" ht="19.7" customHeight="1">
      <c r="B9" s="16"/>
      <c r="C9" s="17"/>
      <c r="D9" s="17"/>
      <c r="E9" s="18"/>
      <c r="F9" s="19"/>
      <c r="G9" s="20"/>
      <c r="H9" s="20"/>
      <c r="I9" s="37"/>
      <c r="J9" s="37"/>
      <c r="K9" s="21"/>
    </row>
    <row r="10" spans="2:11" ht="19.7" customHeight="1">
      <c r="B10" s="16"/>
      <c r="C10" s="17"/>
      <c r="D10" s="17"/>
      <c r="E10" s="18"/>
      <c r="F10" s="19"/>
      <c r="G10" s="37"/>
      <c r="H10" s="37"/>
      <c r="I10" s="37"/>
      <c r="J10" s="37"/>
      <c r="K10" s="21"/>
    </row>
    <row r="11" spans="2:11" ht="19.7" customHeight="1">
      <c r="B11" s="16" t="s">
        <v>47</v>
      </c>
      <c r="C11" s="17"/>
      <c r="D11" s="17"/>
      <c r="E11" s="23"/>
      <c r="F11" s="19"/>
      <c r="G11" s="20"/>
      <c r="H11" s="20"/>
      <c r="I11" s="20"/>
      <c r="J11" s="37"/>
      <c r="K11" s="21"/>
    </row>
    <row r="12" spans="2:11" ht="19.7" customHeight="1">
      <c r="B12" s="16" t="s">
        <v>47</v>
      </c>
      <c r="C12" s="17"/>
      <c r="D12" s="17"/>
      <c r="E12" s="23"/>
      <c r="F12" s="19"/>
      <c r="G12" s="20"/>
      <c r="H12" s="20"/>
      <c r="I12" s="20"/>
      <c r="J12" s="37"/>
      <c r="K12" s="21"/>
    </row>
    <row r="13" spans="2:11" ht="19.7" customHeight="1">
      <c r="B13" s="16" t="s">
        <v>47</v>
      </c>
      <c r="C13" s="17"/>
      <c r="D13" s="17"/>
      <c r="E13" s="23"/>
      <c r="F13" s="19"/>
      <c r="G13" s="20"/>
      <c r="H13" s="20"/>
      <c r="I13" s="20"/>
      <c r="J13" s="37"/>
      <c r="K13" s="21"/>
    </row>
    <row r="14" spans="2:11" ht="19.7" customHeight="1">
      <c r="B14" s="16" t="s">
        <v>47</v>
      </c>
      <c r="C14" s="17"/>
      <c r="D14" s="17"/>
      <c r="E14" s="23"/>
      <c r="F14" s="19"/>
      <c r="G14" s="20"/>
      <c r="H14" s="20"/>
      <c r="I14" s="20"/>
      <c r="J14" s="37"/>
      <c r="K14" s="21"/>
    </row>
    <row r="15" spans="2:11" ht="19.7" customHeight="1">
      <c r="B15" s="16" t="s">
        <v>47</v>
      </c>
      <c r="C15" s="17"/>
      <c r="D15" s="17"/>
      <c r="E15" s="23"/>
      <c r="F15" s="19"/>
      <c r="G15" s="20"/>
      <c r="H15" s="20"/>
      <c r="I15" s="20"/>
      <c r="J15" s="37"/>
      <c r="K15" s="21"/>
    </row>
    <row r="16" spans="2:11" ht="19.7" customHeight="1">
      <c r="B16" s="16" t="s">
        <v>47</v>
      </c>
      <c r="C16" s="17"/>
      <c r="D16" s="17"/>
      <c r="E16" s="23"/>
      <c r="F16" s="19"/>
      <c r="G16" s="20"/>
      <c r="H16" s="20"/>
      <c r="I16" s="20"/>
      <c r="J16" s="37"/>
      <c r="K16" s="21"/>
    </row>
    <row r="17" spans="2:11" ht="19.7" customHeight="1">
      <c r="B17" s="16" t="s">
        <v>47</v>
      </c>
      <c r="C17" s="17"/>
      <c r="D17" s="17"/>
      <c r="E17" s="23"/>
      <c r="F17" s="19"/>
      <c r="G17" s="20"/>
      <c r="H17" s="20"/>
      <c r="I17" s="20"/>
      <c r="J17" s="37"/>
      <c r="K17" s="21"/>
    </row>
    <row r="18" spans="2:11" ht="19.7" customHeight="1">
      <c r="B18" s="16" t="s">
        <v>47</v>
      </c>
      <c r="C18" s="17"/>
      <c r="D18" s="17"/>
      <c r="E18" s="23"/>
      <c r="F18" s="19"/>
      <c r="G18" s="20"/>
      <c r="H18" s="20"/>
      <c r="I18" s="20"/>
      <c r="J18" s="37"/>
      <c r="K18" s="21"/>
    </row>
    <row r="19" spans="2:11" ht="19.7" customHeight="1">
      <c r="B19" s="16" t="s">
        <v>47</v>
      </c>
      <c r="C19" s="17"/>
      <c r="D19" s="17"/>
      <c r="E19" s="23"/>
      <c r="F19" s="19"/>
      <c r="G19" s="20"/>
      <c r="H19" s="20"/>
      <c r="I19" s="20"/>
      <c r="J19" s="37"/>
      <c r="K19" s="21"/>
    </row>
    <row r="20" spans="2:11" ht="19.7" customHeight="1">
      <c r="B20" s="16" t="s">
        <v>47</v>
      </c>
      <c r="C20" s="17"/>
      <c r="D20" s="17"/>
      <c r="E20" s="23"/>
      <c r="F20" s="19"/>
      <c r="G20" s="20"/>
      <c r="H20" s="20"/>
      <c r="I20" s="20"/>
      <c r="J20" s="37"/>
      <c r="K20" s="21"/>
    </row>
    <row r="21" spans="2:11" ht="19.7" customHeight="1">
      <c r="B21" s="16" t="s">
        <v>47</v>
      </c>
      <c r="C21" s="17"/>
      <c r="D21" s="17"/>
      <c r="E21" s="18"/>
      <c r="F21" s="19"/>
      <c r="G21" s="20"/>
      <c r="H21" s="20"/>
      <c r="I21" s="20"/>
      <c r="J21" s="37"/>
      <c r="K21" s="21"/>
    </row>
    <row r="22" spans="2:11" ht="19.7" customHeight="1">
      <c r="B22" s="16" t="s">
        <v>47</v>
      </c>
      <c r="C22" s="17"/>
      <c r="D22" s="17"/>
      <c r="E22" s="18"/>
      <c r="F22" s="19"/>
      <c r="G22" s="20"/>
      <c r="H22" s="20"/>
      <c r="I22" s="20"/>
      <c r="J22" s="37"/>
      <c r="K22" s="21"/>
    </row>
    <row r="23" spans="2:11" ht="19.7" customHeight="1">
      <c r="B23" s="16" t="s">
        <v>47</v>
      </c>
      <c r="C23" s="17"/>
      <c r="D23" s="17"/>
      <c r="E23" s="18"/>
      <c r="F23" s="19"/>
      <c r="G23" s="20"/>
      <c r="H23" s="20"/>
      <c r="I23" s="20"/>
      <c r="J23" s="37"/>
      <c r="K23" s="21"/>
    </row>
    <row r="24" spans="2:11" ht="19.7" customHeight="1">
      <c r="B24" s="16" t="s">
        <v>47</v>
      </c>
      <c r="C24" s="17"/>
      <c r="D24" s="17"/>
      <c r="E24" s="18"/>
      <c r="F24" s="19"/>
      <c r="G24" s="20"/>
      <c r="H24" s="20"/>
      <c r="I24" s="20"/>
      <c r="J24" s="37"/>
      <c r="K24" s="21"/>
    </row>
    <row r="25" spans="2:11" ht="19.7" customHeight="1">
      <c r="B25" s="16" t="s">
        <v>47</v>
      </c>
      <c r="C25" s="17"/>
      <c r="D25" s="17"/>
      <c r="E25" s="18"/>
      <c r="F25" s="19"/>
      <c r="G25" s="20"/>
      <c r="H25" s="20"/>
      <c r="I25" s="20"/>
      <c r="J25" s="37"/>
      <c r="K25" s="21"/>
    </row>
    <row r="26" spans="2:11" ht="19.7" customHeight="1">
      <c r="B26" s="16" t="s">
        <v>47</v>
      </c>
      <c r="C26" s="17"/>
      <c r="D26" s="17"/>
      <c r="E26" s="18"/>
      <c r="F26" s="19"/>
      <c r="G26" s="20"/>
      <c r="H26" s="20"/>
      <c r="I26" s="20"/>
      <c r="J26" s="37"/>
      <c r="K26" s="21"/>
    </row>
    <row r="27" spans="2:11" ht="19.7" customHeight="1">
      <c r="B27" s="16" t="s">
        <v>47</v>
      </c>
      <c r="C27" s="17"/>
      <c r="D27" s="17"/>
      <c r="E27" s="18"/>
      <c r="F27" s="19"/>
      <c r="G27" s="20"/>
      <c r="H27" s="20"/>
      <c r="I27" s="20"/>
      <c r="J27" s="37"/>
      <c r="K27" s="21"/>
    </row>
    <row r="28" spans="2:11" ht="19.7" customHeight="1">
      <c r="B28" s="16" t="s">
        <v>47</v>
      </c>
      <c r="C28" s="17"/>
      <c r="D28" s="17"/>
      <c r="E28" s="18"/>
      <c r="F28" s="19"/>
      <c r="G28" s="20"/>
      <c r="H28" s="20"/>
      <c r="I28" s="20"/>
      <c r="J28" s="37"/>
      <c r="K28" s="21"/>
    </row>
    <row r="29" spans="2:11" ht="19.7" customHeight="1">
      <c r="B29" s="24" t="s">
        <v>47</v>
      </c>
      <c r="C29" s="25"/>
      <c r="D29" s="25"/>
      <c r="E29" s="26"/>
      <c r="F29" s="27"/>
      <c r="G29" s="39"/>
      <c r="H29" s="39"/>
      <c r="I29" s="39"/>
      <c r="J29" s="40"/>
      <c r="K29" s="29"/>
    </row>
    <row r="30" spans="2:11" ht="19.7" customHeight="1">
      <c r="B30" s="30"/>
      <c r="C30" s="31" t="s">
        <v>172</v>
      </c>
      <c r="D30" s="32"/>
      <c r="E30" s="32"/>
      <c r="F30" s="32"/>
      <c r="G30" s="41" t="e">
        <f>+G4+G5+G6+G7+G8+G9+G10+G11+G12+G13+G14+G15</f>
        <v>#REF!</v>
      </c>
      <c r="H30" s="41" t="e">
        <f>+H4+H5+H6+H7+H8+H9+H10+H11+H12+H13+H14+H15</f>
        <v>#REF!</v>
      </c>
      <c r="I30" s="41" t="e">
        <f>+I4+I5+I6+I7+I8+I9+I10+I11+I12+I13+I14+I15</f>
        <v>#REF!</v>
      </c>
      <c r="J30" s="41" t="e">
        <f>+J4+J5+J6+J7+J8+J9+J10+J11+J12+J13+J14+J15</f>
        <v>#REF!</v>
      </c>
      <c r="K30" s="33"/>
    </row>
    <row r="31" spans="2:11">
      <c r="B31" s="34"/>
      <c r="C31" s="34"/>
      <c r="D31" s="34"/>
      <c r="E31" s="34"/>
      <c r="F31" s="34"/>
      <c r="G31" s="42"/>
      <c r="H31" s="42"/>
      <c r="I31" s="42"/>
      <c r="J31" s="42"/>
      <c r="K31" s="34"/>
    </row>
    <row r="32" spans="2:11">
      <c r="G32" s="38"/>
      <c r="H32" s="38"/>
      <c r="I32" s="38"/>
      <c r="J32" s="38"/>
    </row>
  </sheetData>
  <mergeCells count="1">
    <mergeCell ref="B1:K1"/>
  </mergeCells>
  <phoneticPr fontId="33" type="noConversion"/>
  <pageMargins left="0.98416668176651001" right="7.8611113131046295E-2" top="0.6691666841506958" bottom="0.59041666984558105" header="0.51138889789581299" footer="0.51138889789581299"/>
  <pageSetup paperSize="9" scale="8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8"/>
  <dimension ref="B1:K37"/>
  <sheetViews>
    <sheetView view="pageBreakPreview" zoomScaleNormal="100" zoomScaleSheetLayoutView="100" workbookViewId="0">
      <pane ySplit="3" topLeftCell="A4" activePane="bottomLeft" state="frozen"/>
      <selection pane="bottomLeft" activeCell="C23" sqref="C23"/>
    </sheetView>
  </sheetViews>
  <sheetFormatPr defaultColWidth="8" defaultRowHeight="12.75"/>
  <cols>
    <col min="1" max="1" width="0.625" style="4" customWidth="1"/>
    <col min="2" max="2" width="7.25" style="4" customWidth="1"/>
    <col min="3" max="3" width="21.625" style="4" customWidth="1"/>
    <col min="4" max="4" width="19.875" style="4" customWidth="1"/>
    <col min="5" max="5" width="12.625" style="4" customWidth="1"/>
    <col min="6" max="6" width="7.25" style="4" customWidth="1"/>
    <col min="7" max="7" width="14.5" style="4" customWidth="1"/>
    <col min="8" max="8" width="15" style="4" customWidth="1"/>
    <col min="9" max="9" width="15.125" style="4" customWidth="1"/>
    <col min="10" max="10" width="17.125" style="4" customWidth="1"/>
    <col min="11" max="11" width="12.625" style="4" customWidth="1"/>
    <col min="12" max="16384" width="8" style="4"/>
  </cols>
  <sheetData>
    <row r="1" spans="2:11" ht="24.95" customHeight="1">
      <c r="B1" s="338" t="s">
        <v>191</v>
      </c>
      <c r="C1" s="338"/>
      <c r="D1" s="338"/>
      <c r="E1" s="338"/>
      <c r="F1" s="338"/>
      <c r="G1" s="338"/>
      <c r="H1" s="338"/>
      <c r="I1" s="338"/>
      <c r="J1" s="338"/>
      <c r="K1" s="338"/>
    </row>
    <row r="2" spans="2:11" ht="18" customHeight="1">
      <c r="B2" s="5" t="e">
        <f>#REF!</f>
        <v>#REF!</v>
      </c>
      <c r="C2" s="6"/>
      <c r="D2" s="7"/>
      <c r="E2" s="7" t="s">
        <v>253</v>
      </c>
      <c r="F2" s="7"/>
      <c r="G2" s="7"/>
      <c r="H2" s="7"/>
      <c r="I2" s="7"/>
      <c r="J2" s="7"/>
      <c r="K2" s="7"/>
    </row>
    <row r="3" spans="2:11" ht="30.75" customHeight="1">
      <c r="B3" s="8" t="s">
        <v>27</v>
      </c>
      <c r="C3" s="9" t="s">
        <v>136</v>
      </c>
      <c r="D3" s="9" t="s">
        <v>146</v>
      </c>
      <c r="E3" s="9" t="s">
        <v>55</v>
      </c>
      <c r="F3" s="9" t="s">
        <v>26</v>
      </c>
      <c r="G3" s="9" t="s">
        <v>71</v>
      </c>
      <c r="H3" s="9" t="s">
        <v>40</v>
      </c>
      <c r="I3" s="9" t="s">
        <v>145</v>
      </c>
      <c r="J3" s="9" t="s">
        <v>126</v>
      </c>
      <c r="K3" s="10" t="s">
        <v>156</v>
      </c>
    </row>
    <row r="4" spans="2:11" ht="19.7" customHeight="1">
      <c r="B4" s="43" t="s">
        <v>53</v>
      </c>
      <c r="C4" s="35" t="s">
        <v>148</v>
      </c>
      <c r="D4" s="11"/>
      <c r="E4" s="12">
        <v>1</v>
      </c>
      <c r="F4" s="13" t="s">
        <v>57</v>
      </c>
      <c r="G4" s="36" t="e">
        <f>+#REF!</f>
        <v>#REF!</v>
      </c>
      <c r="H4" s="36" t="e">
        <f>+#REF!</f>
        <v>#REF!</v>
      </c>
      <c r="I4" s="36" t="e">
        <f>+#REF!</f>
        <v>#REF!</v>
      </c>
      <c r="J4" s="36" t="e">
        <f>H4+G4+I4</f>
        <v>#REF!</v>
      </c>
      <c r="K4" s="15" t="s">
        <v>47</v>
      </c>
    </row>
    <row r="5" spans="2:11" ht="19.7" customHeight="1">
      <c r="B5" s="44" t="s">
        <v>49</v>
      </c>
      <c r="C5" s="17" t="s">
        <v>143</v>
      </c>
      <c r="D5" s="17"/>
      <c r="E5" s="18">
        <v>1</v>
      </c>
      <c r="F5" s="19" t="s">
        <v>57</v>
      </c>
      <c r="G5" s="37" t="e">
        <f>+#REF!</f>
        <v>#REF!</v>
      </c>
      <c r="H5" s="37" t="e">
        <f>+#REF!</f>
        <v>#REF!</v>
      </c>
      <c r="I5" s="37" t="e">
        <f>+#REF!</f>
        <v>#REF!</v>
      </c>
      <c r="J5" s="37" t="e">
        <f>H5+G5+I5</f>
        <v>#REF!</v>
      </c>
      <c r="K5" s="21"/>
    </row>
    <row r="6" spans="2:11" ht="19.7" customHeight="1">
      <c r="B6" s="44" t="s">
        <v>66</v>
      </c>
      <c r="C6" s="17" t="s">
        <v>115</v>
      </c>
      <c r="D6" s="17"/>
      <c r="E6" s="18">
        <v>1</v>
      </c>
      <c r="F6" s="19" t="s">
        <v>57</v>
      </c>
      <c r="G6" s="37" t="e">
        <f>+#REF!</f>
        <v>#REF!</v>
      </c>
      <c r="H6" s="37" t="e">
        <f>+#REF!</f>
        <v>#REF!</v>
      </c>
      <c r="I6" s="37" t="e">
        <f>+#REF!</f>
        <v>#REF!</v>
      </c>
      <c r="J6" s="37" t="e">
        <f>H6+G6+I6</f>
        <v>#REF!</v>
      </c>
      <c r="K6" s="21"/>
    </row>
    <row r="7" spans="2:11" ht="19.7" customHeight="1">
      <c r="B7" s="43"/>
      <c r="C7" s="35"/>
      <c r="D7" s="11"/>
      <c r="E7" s="12"/>
      <c r="F7" s="19"/>
      <c r="G7" s="14"/>
      <c r="H7" s="14"/>
      <c r="I7" s="37"/>
      <c r="J7" s="22"/>
      <c r="K7" s="15"/>
    </row>
    <row r="8" spans="2:11" ht="19.7" customHeight="1">
      <c r="B8" s="44"/>
      <c r="C8" s="17"/>
      <c r="D8" s="17"/>
      <c r="E8" s="18"/>
      <c r="F8" s="19"/>
      <c r="G8" s="18"/>
      <c r="H8" s="18"/>
      <c r="I8" s="22"/>
      <c r="J8" s="22"/>
      <c r="K8" s="21"/>
    </row>
    <row r="9" spans="2:11" ht="19.7" customHeight="1">
      <c r="B9" s="44"/>
      <c r="C9" s="17"/>
      <c r="D9" s="17"/>
      <c r="E9" s="18"/>
      <c r="F9" s="19"/>
      <c r="G9" s="18"/>
      <c r="H9" s="18"/>
      <c r="I9" s="22"/>
      <c r="J9" s="22"/>
      <c r="K9" s="21"/>
    </row>
    <row r="10" spans="2:11" ht="19.7" customHeight="1">
      <c r="B10" s="16"/>
      <c r="C10" s="17"/>
      <c r="D10" s="17"/>
      <c r="E10" s="18"/>
      <c r="F10" s="19"/>
      <c r="G10" s="22"/>
      <c r="H10" s="22"/>
      <c r="I10" s="22"/>
      <c r="J10" s="22"/>
      <c r="K10" s="21"/>
    </row>
    <row r="11" spans="2:11" ht="19.7" customHeight="1">
      <c r="B11" s="16"/>
      <c r="C11" s="17"/>
      <c r="D11" s="17"/>
      <c r="E11" s="23"/>
      <c r="F11" s="19"/>
      <c r="G11" s="18"/>
      <c r="H11" s="18"/>
      <c r="I11" s="18"/>
      <c r="J11" s="22"/>
      <c r="K11" s="21"/>
    </row>
    <row r="12" spans="2:11" ht="19.7" customHeight="1">
      <c r="B12" s="16"/>
      <c r="C12" s="17"/>
      <c r="D12" s="17"/>
      <c r="E12" s="23"/>
      <c r="F12" s="19"/>
      <c r="G12" s="18"/>
      <c r="H12" s="18"/>
      <c r="I12" s="18"/>
      <c r="J12" s="22"/>
      <c r="K12" s="21"/>
    </row>
    <row r="13" spans="2:11" ht="19.7" customHeight="1">
      <c r="B13" s="16" t="s">
        <v>47</v>
      </c>
      <c r="C13" s="17"/>
      <c r="D13" s="17"/>
      <c r="E13" s="23"/>
      <c r="F13" s="19"/>
      <c r="G13" s="18"/>
      <c r="H13" s="18"/>
      <c r="I13" s="18"/>
      <c r="J13" s="22"/>
      <c r="K13" s="21"/>
    </row>
    <row r="14" spans="2:11" ht="19.7" customHeight="1">
      <c r="B14" s="16" t="s">
        <v>47</v>
      </c>
      <c r="C14" s="17"/>
      <c r="D14" s="17"/>
      <c r="E14" s="23"/>
      <c r="F14" s="19"/>
      <c r="G14" s="18"/>
      <c r="H14" s="18"/>
      <c r="I14" s="18"/>
      <c r="J14" s="22"/>
      <c r="K14" s="21"/>
    </row>
    <row r="15" spans="2:11" ht="19.7" customHeight="1">
      <c r="B15" s="16" t="s">
        <v>47</v>
      </c>
      <c r="C15" s="17"/>
      <c r="D15" s="17"/>
      <c r="E15" s="23"/>
      <c r="F15" s="19"/>
      <c r="G15" s="18"/>
      <c r="H15" s="18"/>
      <c r="I15" s="18"/>
      <c r="J15" s="22"/>
      <c r="K15" s="21"/>
    </row>
    <row r="16" spans="2:11" ht="19.7" customHeight="1">
      <c r="B16" s="16" t="s">
        <v>47</v>
      </c>
      <c r="C16" s="17"/>
      <c r="D16" s="17"/>
      <c r="E16" s="23"/>
      <c r="F16" s="19"/>
      <c r="G16" s="18"/>
      <c r="H16" s="18"/>
      <c r="I16" s="18"/>
      <c r="J16" s="22"/>
      <c r="K16" s="21"/>
    </row>
    <row r="17" spans="2:11" ht="19.7" customHeight="1">
      <c r="B17" s="16" t="s">
        <v>47</v>
      </c>
      <c r="C17" s="17"/>
      <c r="D17" s="17"/>
      <c r="E17" s="23"/>
      <c r="F17" s="19"/>
      <c r="G17" s="18"/>
      <c r="H17" s="18"/>
      <c r="I17" s="18"/>
      <c r="J17" s="22"/>
      <c r="K17" s="21"/>
    </row>
    <row r="18" spans="2:11" ht="19.7" customHeight="1">
      <c r="B18" s="16" t="s">
        <v>47</v>
      </c>
      <c r="C18" s="17"/>
      <c r="D18" s="17"/>
      <c r="E18" s="23"/>
      <c r="F18" s="19"/>
      <c r="G18" s="18"/>
      <c r="H18" s="18"/>
      <c r="I18" s="18"/>
      <c r="J18" s="22"/>
      <c r="K18" s="21"/>
    </row>
    <row r="19" spans="2:11" ht="19.7" customHeight="1">
      <c r="B19" s="16" t="s">
        <v>47</v>
      </c>
      <c r="C19" s="17"/>
      <c r="D19" s="17"/>
      <c r="E19" s="23"/>
      <c r="F19" s="19"/>
      <c r="G19" s="18"/>
      <c r="H19" s="18"/>
      <c r="I19" s="18"/>
      <c r="J19" s="22"/>
      <c r="K19" s="21"/>
    </row>
    <row r="20" spans="2:11" ht="19.7" customHeight="1">
      <c r="B20" s="16" t="s">
        <v>47</v>
      </c>
      <c r="C20" s="17"/>
      <c r="D20" s="17"/>
      <c r="E20" s="23"/>
      <c r="F20" s="19"/>
      <c r="G20" s="18"/>
      <c r="H20" s="18"/>
      <c r="I20" s="18"/>
      <c r="J20" s="22"/>
      <c r="K20" s="21"/>
    </row>
    <row r="21" spans="2:11" ht="19.7" customHeight="1">
      <c r="B21" s="16" t="s">
        <v>47</v>
      </c>
      <c r="C21" s="17"/>
      <c r="D21" s="17"/>
      <c r="E21" s="18"/>
      <c r="F21" s="19"/>
      <c r="G21" s="18"/>
      <c r="H21" s="18"/>
      <c r="I21" s="18"/>
      <c r="J21" s="22"/>
      <c r="K21" s="21"/>
    </row>
    <row r="22" spans="2:11" ht="19.7" customHeight="1">
      <c r="B22" s="16" t="s">
        <v>47</v>
      </c>
      <c r="C22" s="17"/>
      <c r="D22" s="17"/>
      <c r="E22" s="18"/>
      <c r="F22" s="19"/>
      <c r="G22" s="18"/>
      <c r="H22" s="18"/>
      <c r="I22" s="18"/>
      <c r="J22" s="22"/>
      <c r="K22" s="21"/>
    </row>
    <row r="23" spans="2:11" ht="19.7" customHeight="1">
      <c r="B23" s="16" t="s">
        <v>47</v>
      </c>
      <c r="C23" s="17"/>
      <c r="D23" s="17"/>
      <c r="E23" s="18"/>
      <c r="F23" s="19"/>
      <c r="G23" s="18"/>
      <c r="H23" s="18"/>
      <c r="I23" s="18"/>
      <c r="J23" s="22"/>
      <c r="K23" s="21"/>
    </row>
    <row r="24" spans="2:11" ht="19.7" customHeight="1">
      <c r="B24" s="16" t="s">
        <v>47</v>
      </c>
      <c r="C24" s="17"/>
      <c r="D24" s="17"/>
      <c r="E24" s="18"/>
      <c r="F24" s="19"/>
      <c r="G24" s="18"/>
      <c r="H24" s="18"/>
      <c r="I24" s="18"/>
      <c r="J24" s="22"/>
      <c r="K24" s="21"/>
    </row>
    <row r="25" spans="2:11" ht="19.7" customHeight="1">
      <c r="B25" s="16" t="s">
        <v>47</v>
      </c>
      <c r="C25" s="17"/>
      <c r="D25" s="17"/>
      <c r="E25" s="18"/>
      <c r="F25" s="19"/>
      <c r="G25" s="18"/>
      <c r="H25" s="18"/>
      <c r="I25" s="18"/>
      <c r="J25" s="22"/>
      <c r="K25" s="21"/>
    </row>
    <row r="26" spans="2:11" ht="19.7" customHeight="1">
      <c r="B26" s="16" t="s">
        <v>47</v>
      </c>
      <c r="C26" s="17"/>
      <c r="D26" s="17"/>
      <c r="E26" s="18"/>
      <c r="F26" s="19"/>
      <c r="G26" s="18"/>
      <c r="H26" s="18"/>
      <c r="I26" s="18"/>
      <c r="J26" s="22"/>
      <c r="K26" s="21"/>
    </row>
    <row r="27" spans="2:11" ht="19.7" customHeight="1">
      <c r="B27" s="16" t="s">
        <v>47</v>
      </c>
      <c r="C27" s="17"/>
      <c r="D27" s="17"/>
      <c r="E27" s="18"/>
      <c r="F27" s="19"/>
      <c r="G27" s="18"/>
      <c r="H27" s="18"/>
      <c r="I27" s="18"/>
      <c r="J27" s="22"/>
      <c r="K27" s="21"/>
    </row>
    <row r="28" spans="2:11" ht="19.7" customHeight="1">
      <c r="B28" s="16" t="s">
        <v>47</v>
      </c>
      <c r="C28" s="17"/>
      <c r="D28" s="17"/>
      <c r="E28" s="18"/>
      <c r="F28" s="19"/>
      <c r="G28" s="18"/>
      <c r="H28" s="18"/>
      <c r="I28" s="18"/>
      <c r="J28" s="22"/>
      <c r="K28" s="21"/>
    </row>
    <row r="29" spans="2:11" ht="19.7" customHeight="1">
      <c r="B29" s="24" t="s">
        <v>47</v>
      </c>
      <c r="C29" s="25"/>
      <c r="D29" s="25"/>
      <c r="E29" s="26"/>
      <c r="F29" s="27"/>
      <c r="G29" s="26"/>
      <c r="H29" s="26"/>
      <c r="I29" s="26"/>
      <c r="J29" s="28"/>
      <c r="K29" s="29"/>
    </row>
    <row r="30" spans="2:11" ht="19.7" customHeight="1">
      <c r="B30" s="30"/>
      <c r="C30" s="31" t="s">
        <v>172</v>
      </c>
      <c r="D30" s="32"/>
      <c r="E30" s="32"/>
      <c r="F30" s="32"/>
      <c r="G30" s="32" t="e">
        <f>+G4+G5+G6+G7+G8+G9+G10+G11+G12+G13+G14+G15</f>
        <v>#REF!</v>
      </c>
      <c r="H30" s="32" t="e">
        <f>+H4+H5+H6+H7+H8+H9+H10+H11+H12+H13+H14+H15</f>
        <v>#REF!</v>
      </c>
      <c r="I30" s="32" t="e">
        <f>+I4+I5+I6+I7+I8+I9+I10+I11+I12+I13+I14+I15</f>
        <v>#REF!</v>
      </c>
      <c r="J30" s="32" t="e">
        <f>+J4+J5+J6+J7+J8+J9+J10+J11+J12+J13+J14+J15</f>
        <v>#REF!</v>
      </c>
      <c r="K30" s="33"/>
    </row>
    <row r="31" spans="2:11">
      <c r="B31" s="34"/>
      <c r="C31" s="34"/>
      <c r="D31" s="34"/>
      <c r="E31" s="34"/>
      <c r="F31" s="34"/>
      <c r="G31" s="34"/>
      <c r="H31" s="34"/>
      <c r="I31" s="34"/>
      <c r="J31" s="34"/>
      <c r="K31" s="34"/>
    </row>
    <row r="37" spans="7:10">
      <c r="G37" s="22">
        <v>144354698</v>
      </c>
      <c r="H37" s="22">
        <v>128764670</v>
      </c>
      <c r="I37" s="22">
        <v>2447470</v>
      </c>
      <c r="J37" s="22">
        <f>H37+G37+I37</f>
        <v>275566838</v>
      </c>
    </row>
  </sheetData>
  <mergeCells count="1">
    <mergeCell ref="B1:K1"/>
  </mergeCells>
  <phoneticPr fontId="33" type="noConversion"/>
  <pageMargins left="0.98416668176651001" right="7.8611113131046295E-2" top="0.6691666841506958" bottom="0.59041666984558105" header="0.51138889789581299" footer="0.51138889789581299"/>
  <pageSetup paperSize="9" scale="8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9"/>
  <dimension ref="B1:P37"/>
  <sheetViews>
    <sheetView view="pageBreakPreview" zoomScaleNormal="100" zoomScaleSheetLayoutView="100" workbookViewId="0">
      <pane ySplit="3" topLeftCell="A4" activePane="bottomLeft" state="frozen"/>
      <selection pane="bottomLeft" activeCell="C23" sqref="C23"/>
    </sheetView>
  </sheetViews>
  <sheetFormatPr defaultColWidth="8" defaultRowHeight="12.75"/>
  <cols>
    <col min="1" max="1" width="0.625" style="4" customWidth="1"/>
    <col min="2" max="2" width="7.25" style="4" customWidth="1"/>
    <col min="3" max="3" width="21.625" style="4" customWidth="1"/>
    <col min="4" max="4" width="19.875" style="4" customWidth="1"/>
    <col min="5" max="5" width="12.625" style="4" customWidth="1"/>
    <col min="6" max="6" width="7.25" style="4" customWidth="1"/>
    <col min="7" max="7" width="14.5" style="4" customWidth="1"/>
    <col min="8" max="8" width="15" style="4" customWidth="1"/>
    <col min="9" max="9" width="15.125" style="4" customWidth="1"/>
    <col min="10" max="10" width="17.125" style="4" customWidth="1"/>
    <col min="11" max="11" width="12.625" style="4" customWidth="1"/>
    <col min="12" max="16384" width="8" style="4"/>
  </cols>
  <sheetData>
    <row r="1" spans="2:16" ht="24.95" customHeight="1">
      <c r="B1" s="338" t="s">
        <v>191</v>
      </c>
      <c r="C1" s="338"/>
      <c r="D1" s="338"/>
      <c r="E1" s="338"/>
      <c r="F1" s="338"/>
      <c r="G1" s="338"/>
      <c r="H1" s="338"/>
      <c r="I1" s="338"/>
      <c r="J1" s="338"/>
      <c r="K1" s="338"/>
    </row>
    <row r="2" spans="2:16" ht="18" customHeight="1">
      <c r="B2" s="5" t="e">
        <f>#REF!</f>
        <v>#REF!</v>
      </c>
      <c r="C2" s="6"/>
      <c r="D2" s="7"/>
      <c r="E2" s="7" t="s">
        <v>250</v>
      </c>
      <c r="F2" s="7"/>
      <c r="G2" s="7"/>
      <c r="H2" s="7"/>
      <c r="I2" s="7"/>
      <c r="J2" s="7"/>
      <c r="K2" s="7"/>
    </row>
    <row r="3" spans="2:16" ht="30.75" customHeight="1">
      <c r="B3" s="8" t="s">
        <v>27</v>
      </c>
      <c r="C3" s="9" t="s">
        <v>136</v>
      </c>
      <c r="D3" s="9" t="s">
        <v>146</v>
      </c>
      <c r="E3" s="9" t="s">
        <v>55</v>
      </c>
      <c r="F3" s="9" t="s">
        <v>26</v>
      </c>
      <c r="G3" s="9" t="s">
        <v>71</v>
      </c>
      <c r="H3" s="9" t="s">
        <v>40</v>
      </c>
      <c r="I3" s="9" t="s">
        <v>145</v>
      </c>
      <c r="J3" s="9" t="s">
        <v>126</v>
      </c>
      <c r="K3" s="10" t="s">
        <v>156</v>
      </c>
    </row>
    <row r="4" spans="2:16" ht="19.7" customHeight="1">
      <c r="B4" s="43" t="s">
        <v>53</v>
      </c>
      <c r="C4" s="35" t="s">
        <v>148</v>
      </c>
      <c r="D4" s="11"/>
      <c r="E4" s="12">
        <v>1</v>
      </c>
      <c r="F4" s="13" t="s">
        <v>57</v>
      </c>
      <c r="G4" s="36" t="e">
        <f>+#REF!</f>
        <v>#REF!</v>
      </c>
      <c r="H4" s="36" t="e">
        <f>+#REF!</f>
        <v>#REF!</v>
      </c>
      <c r="I4" s="36" t="e">
        <f>+#REF!</f>
        <v>#REF!</v>
      </c>
      <c r="J4" s="36" t="e">
        <f>H4+G4+I4</f>
        <v>#REF!</v>
      </c>
      <c r="K4" s="15" t="s">
        <v>47</v>
      </c>
    </row>
    <row r="5" spans="2:16" ht="19.7" customHeight="1">
      <c r="B5" s="44" t="s">
        <v>49</v>
      </c>
      <c r="C5" s="17" t="s">
        <v>143</v>
      </c>
      <c r="D5" s="17"/>
      <c r="E5" s="18">
        <v>1</v>
      </c>
      <c r="F5" s="19" t="s">
        <v>57</v>
      </c>
      <c r="G5" s="37" t="e">
        <f>+#REF!</f>
        <v>#REF!</v>
      </c>
      <c r="H5" s="37" t="e">
        <f>+#REF!</f>
        <v>#REF!</v>
      </c>
      <c r="I5" s="37" t="e">
        <f>+#REF!</f>
        <v>#REF!</v>
      </c>
      <c r="J5" s="37" t="e">
        <f>H5+G5+I5</f>
        <v>#REF!</v>
      </c>
      <c r="K5" s="21"/>
    </row>
    <row r="6" spans="2:16" ht="19.7" customHeight="1">
      <c r="B6" s="44" t="s">
        <v>66</v>
      </c>
      <c r="C6" s="17" t="s">
        <v>115</v>
      </c>
      <c r="D6" s="17"/>
      <c r="E6" s="18">
        <v>1</v>
      </c>
      <c r="F6" s="19" t="s">
        <v>57</v>
      </c>
      <c r="G6" s="37" t="e">
        <f>+#REF!</f>
        <v>#REF!</v>
      </c>
      <c r="H6" s="37" t="e">
        <f>+#REF!</f>
        <v>#REF!</v>
      </c>
      <c r="I6" s="37" t="e">
        <f>+#REF!</f>
        <v>#REF!</v>
      </c>
      <c r="J6" s="37" t="e">
        <f>H6+G6+I6</f>
        <v>#REF!</v>
      </c>
      <c r="K6" s="21"/>
    </row>
    <row r="7" spans="2:16" ht="19.7" customHeight="1">
      <c r="B7" s="43"/>
      <c r="C7" s="35"/>
      <c r="D7" s="11"/>
      <c r="E7" s="12"/>
      <c r="F7" s="19"/>
      <c r="G7" s="36"/>
      <c r="H7" s="36"/>
      <c r="I7" s="37"/>
      <c r="J7" s="37"/>
      <c r="K7" s="15"/>
    </row>
    <row r="8" spans="2:16" ht="19.7" customHeight="1">
      <c r="B8" s="44"/>
      <c r="C8" s="17"/>
      <c r="D8" s="17"/>
      <c r="E8" s="18"/>
      <c r="F8" s="19"/>
      <c r="G8" s="37"/>
      <c r="H8" s="37"/>
      <c r="I8" s="37"/>
      <c r="J8" s="37"/>
      <c r="K8" s="21"/>
    </row>
    <row r="9" spans="2:16" ht="19.7" customHeight="1">
      <c r="B9" s="44"/>
      <c r="C9" s="17"/>
      <c r="D9" s="17"/>
      <c r="E9" s="18"/>
      <c r="F9" s="19"/>
      <c r="G9" s="37"/>
      <c r="H9" s="37"/>
      <c r="I9" s="37"/>
      <c r="J9" s="37"/>
      <c r="K9" s="21"/>
    </row>
    <row r="10" spans="2:16" ht="19.7" customHeight="1">
      <c r="B10" s="16"/>
      <c r="C10" s="17"/>
      <c r="D10" s="17"/>
      <c r="E10" s="18"/>
      <c r="F10" s="19"/>
      <c r="G10" s="37"/>
      <c r="H10" s="37"/>
      <c r="I10" s="37"/>
      <c r="J10" s="37"/>
      <c r="K10" s="21"/>
    </row>
    <row r="11" spans="2:16" ht="19.7" customHeight="1">
      <c r="B11" s="16"/>
      <c r="C11" s="17"/>
      <c r="D11" s="17"/>
      <c r="E11" s="23"/>
      <c r="F11" s="19"/>
      <c r="G11" s="37"/>
      <c r="H11" s="37"/>
      <c r="I11" s="37"/>
      <c r="J11" s="37"/>
      <c r="K11" s="21"/>
      <c r="P11" s="4">
        <v>0</v>
      </c>
    </row>
    <row r="12" spans="2:16" ht="19.7" customHeight="1">
      <c r="B12" s="16"/>
      <c r="C12" s="17"/>
      <c r="D12" s="17"/>
      <c r="E12" s="23"/>
      <c r="F12" s="19"/>
      <c r="G12" s="37"/>
      <c r="H12" s="37"/>
      <c r="I12" s="37"/>
      <c r="J12" s="37"/>
      <c r="K12" s="21"/>
    </row>
    <row r="13" spans="2:16" ht="19.7" customHeight="1">
      <c r="B13" s="16" t="s">
        <v>47</v>
      </c>
      <c r="C13" s="17"/>
      <c r="D13" s="17"/>
      <c r="E13" s="23"/>
      <c r="F13" s="19"/>
      <c r="G13" s="37"/>
      <c r="H13" s="37"/>
      <c r="I13" s="37"/>
      <c r="J13" s="37"/>
      <c r="K13" s="21"/>
    </row>
    <row r="14" spans="2:16" ht="19.7" customHeight="1">
      <c r="B14" s="16" t="s">
        <v>47</v>
      </c>
      <c r="C14" s="17"/>
      <c r="D14" s="17"/>
      <c r="E14" s="23"/>
      <c r="F14" s="19"/>
      <c r="G14" s="37"/>
      <c r="H14" s="37"/>
      <c r="I14" s="37"/>
      <c r="J14" s="37"/>
      <c r="K14" s="21"/>
    </row>
    <row r="15" spans="2:16" ht="19.7" customHeight="1">
      <c r="B15" s="16" t="s">
        <v>47</v>
      </c>
      <c r="C15" s="17"/>
      <c r="D15" s="17"/>
      <c r="E15" s="23"/>
      <c r="F15" s="19"/>
      <c r="G15" s="37"/>
      <c r="H15" s="37"/>
      <c r="I15" s="37"/>
      <c r="J15" s="37"/>
      <c r="K15" s="21"/>
    </row>
    <row r="16" spans="2:16" ht="19.7" customHeight="1">
      <c r="B16" s="16" t="s">
        <v>47</v>
      </c>
      <c r="C16" s="17"/>
      <c r="D16" s="17"/>
      <c r="E16" s="23"/>
      <c r="F16" s="19"/>
      <c r="G16" s="37"/>
      <c r="H16" s="37"/>
      <c r="I16" s="37"/>
      <c r="J16" s="37"/>
      <c r="K16" s="21"/>
    </row>
    <row r="17" spans="2:11" ht="19.7" customHeight="1">
      <c r="B17" s="16" t="s">
        <v>47</v>
      </c>
      <c r="C17" s="17"/>
      <c r="D17" s="17"/>
      <c r="E17" s="23"/>
      <c r="F17" s="19"/>
      <c r="G17" s="37"/>
      <c r="H17" s="37"/>
      <c r="I17" s="37"/>
      <c r="J17" s="37"/>
      <c r="K17" s="21"/>
    </row>
    <row r="18" spans="2:11" ht="19.7" customHeight="1">
      <c r="B18" s="16" t="s">
        <v>47</v>
      </c>
      <c r="C18" s="17"/>
      <c r="D18" s="17"/>
      <c r="E18" s="23"/>
      <c r="F18" s="19"/>
      <c r="G18" s="37"/>
      <c r="H18" s="37"/>
      <c r="I18" s="37"/>
      <c r="J18" s="37"/>
      <c r="K18" s="21"/>
    </row>
    <row r="19" spans="2:11" ht="19.7" customHeight="1">
      <c r="B19" s="16" t="s">
        <v>47</v>
      </c>
      <c r="C19" s="17"/>
      <c r="D19" s="17"/>
      <c r="E19" s="23"/>
      <c r="F19" s="19"/>
      <c r="G19" s="37"/>
      <c r="H19" s="37"/>
      <c r="I19" s="37"/>
      <c r="J19" s="37"/>
      <c r="K19" s="21"/>
    </row>
    <row r="20" spans="2:11" ht="19.7" customHeight="1">
      <c r="B20" s="16" t="s">
        <v>47</v>
      </c>
      <c r="C20" s="17"/>
      <c r="D20" s="17"/>
      <c r="E20" s="23"/>
      <c r="F20" s="19"/>
      <c r="G20" s="37"/>
      <c r="H20" s="37"/>
      <c r="I20" s="37"/>
      <c r="J20" s="37"/>
      <c r="K20" s="21"/>
    </row>
    <row r="21" spans="2:11" ht="19.7" customHeight="1">
      <c r="B21" s="16" t="s">
        <v>47</v>
      </c>
      <c r="C21" s="17"/>
      <c r="D21" s="17"/>
      <c r="E21" s="18"/>
      <c r="F21" s="19"/>
      <c r="G21" s="37"/>
      <c r="H21" s="37"/>
      <c r="I21" s="37"/>
      <c r="J21" s="37"/>
      <c r="K21" s="21"/>
    </row>
    <row r="22" spans="2:11" ht="19.7" customHeight="1">
      <c r="B22" s="16" t="s">
        <v>47</v>
      </c>
      <c r="C22" s="17"/>
      <c r="D22" s="17"/>
      <c r="E22" s="18"/>
      <c r="F22" s="19"/>
      <c r="G22" s="37"/>
      <c r="H22" s="37"/>
      <c r="I22" s="37"/>
      <c r="J22" s="37"/>
      <c r="K22" s="21"/>
    </row>
    <row r="23" spans="2:11" ht="19.7" customHeight="1">
      <c r="B23" s="16" t="s">
        <v>47</v>
      </c>
      <c r="C23" s="17"/>
      <c r="D23" s="17"/>
      <c r="E23" s="18"/>
      <c r="F23" s="19"/>
      <c r="G23" s="37"/>
      <c r="H23" s="37"/>
      <c r="I23" s="37"/>
      <c r="J23" s="37"/>
      <c r="K23" s="21"/>
    </row>
    <row r="24" spans="2:11" ht="19.7" customHeight="1">
      <c r="B24" s="16" t="s">
        <v>47</v>
      </c>
      <c r="C24" s="17"/>
      <c r="D24" s="17"/>
      <c r="E24" s="18"/>
      <c r="F24" s="19"/>
      <c r="G24" s="37"/>
      <c r="H24" s="37"/>
      <c r="I24" s="37"/>
      <c r="J24" s="37"/>
      <c r="K24" s="21"/>
    </row>
    <row r="25" spans="2:11" ht="19.7" customHeight="1">
      <c r="B25" s="16" t="s">
        <v>47</v>
      </c>
      <c r="C25" s="17"/>
      <c r="D25" s="17"/>
      <c r="E25" s="18"/>
      <c r="F25" s="19"/>
      <c r="G25" s="37"/>
      <c r="H25" s="37"/>
      <c r="I25" s="37"/>
      <c r="J25" s="37"/>
      <c r="K25" s="21"/>
    </row>
    <row r="26" spans="2:11" ht="19.7" customHeight="1">
      <c r="B26" s="16" t="s">
        <v>47</v>
      </c>
      <c r="C26" s="17"/>
      <c r="D26" s="17"/>
      <c r="E26" s="18"/>
      <c r="F26" s="19"/>
      <c r="G26" s="37"/>
      <c r="H26" s="37"/>
      <c r="I26" s="37"/>
      <c r="J26" s="37"/>
      <c r="K26" s="21"/>
    </row>
    <row r="27" spans="2:11" ht="19.7" customHeight="1">
      <c r="B27" s="16" t="s">
        <v>47</v>
      </c>
      <c r="C27" s="17"/>
      <c r="D27" s="17"/>
      <c r="E27" s="18"/>
      <c r="F27" s="19"/>
      <c r="G27" s="37"/>
      <c r="H27" s="37"/>
      <c r="I27" s="37"/>
      <c r="J27" s="37"/>
      <c r="K27" s="21"/>
    </row>
    <row r="28" spans="2:11" ht="19.7" customHeight="1">
      <c r="B28" s="16" t="s">
        <v>47</v>
      </c>
      <c r="C28" s="17"/>
      <c r="D28" s="17"/>
      <c r="E28" s="18"/>
      <c r="F28" s="19"/>
      <c r="G28" s="37"/>
      <c r="H28" s="37"/>
      <c r="I28" s="37"/>
      <c r="J28" s="37"/>
      <c r="K28" s="21"/>
    </row>
    <row r="29" spans="2:11" ht="19.7" customHeight="1">
      <c r="B29" s="24" t="s">
        <v>47</v>
      </c>
      <c r="C29" s="25"/>
      <c r="D29" s="25"/>
      <c r="E29" s="26"/>
      <c r="F29" s="27"/>
      <c r="G29" s="40"/>
      <c r="H29" s="40"/>
      <c r="I29" s="40"/>
      <c r="J29" s="40"/>
      <c r="K29" s="29"/>
    </row>
    <row r="30" spans="2:11" ht="19.7" customHeight="1">
      <c r="B30" s="30"/>
      <c r="C30" s="31" t="s">
        <v>172</v>
      </c>
      <c r="D30" s="32"/>
      <c r="E30" s="32"/>
      <c r="F30" s="32"/>
      <c r="G30" s="45" t="e">
        <f>+G4+G5+G6+G7+G8+G9+G10+G11+G12+G13+G14+G15</f>
        <v>#REF!</v>
      </c>
      <c r="H30" s="45" t="e">
        <f>+H4+H5+H6+H7+H8+H9+H10+H11+H12+H13+H14+H15</f>
        <v>#REF!</v>
      </c>
      <c r="I30" s="45" t="e">
        <f>+I4+I5+I6+I7+I8+I9+I10+I11+I12+I13+I14+I15</f>
        <v>#REF!</v>
      </c>
      <c r="J30" s="45" t="e">
        <f>+J4+J5+J6+J7+J8+J9+J10+J11+J12+J13+J14+J15</f>
        <v>#REF!</v>
      </c>
      <c r="K30" s="33"/>
    </row>
    <row r="31" spans="2:11">
      <c r="B31" s="34"/>
      <c r="C31" s="34"/>
      <c r="D31" s="34"/>
      <c r="E31" s="34"/>
      <c r="F31" s="34"/>
      <c r="G31" s="34"/>
      <c r="H31" s="34"/>
      <c r="I31" s="34"/>
      <c r="J31" s="34"/>
      <c r="K31" s="34"/>
    </row>
    <row r="37" spans="7:10">
      <c r="G37" s="22"/>
      <c r="H37" s="22"/>
      <c r="I37" s="22"/>
      <c r="J37" s="22"/>
    </row>
  </sheetData>
  <mergeCells count="1">
    <mergeCell ref="B1:K1"/>
  </mergeCells>
  <phoneticPr fontId="33" type="noConversion"/>
  <pageMargins left="0.98416668176651001" right="7.8611113131046295E-2" top="0.6691666841506958" bottom="0.59041666984558105" header="0.51138889789581299" footer="0.51138889789581299"/>
  <pageSetup paperSize="9" scale="8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10"/>
  <dimension ref="B1:K37"/>
  <sheetViews>
    <sheetView view="pageBreakPreview" zoomScaleNormal="100" zoomScaleSheetLayoutView="100" workbookViewId="0">
      <pane ySplit="3" topLeftCell="A4" activePane="bottomLeft" state="frozen"/>
      <selection pane="bottomLeft" activeCell="C23" sqref="C23"/>
    </sheetView>
  </sheetViews>
  <sheetFormatPr defaultColWidth="8" defaultRowHeight="12.75"/>
  <cols>
    <col min="1" max="1" width="0.625" style="4" customWidth="1"/>
    <col min="2" max="2" width="7.25" style="4" customWidth="1"/>
    <col min="3" max="3" width="21.625" style="4" customWidth="1"/>
    <col min="4" max="4" width="19.875" style="4" customWidth="1"/>
    <col min="5" max="5" width="12.625" style="4" customWidth="1"/>
    <col min="6" max="6" width="7.25" style="4" customWidth="1"/>
    <col min="7" max="7" width="14.5" style="4" customWidth="1"/>
    <col min="8" max="8" width="15" style="4" customWidth="1"/>
    <col min="9" max="9" width="15.125" style="4" customWidth="1"/>
    <col min="10" max="10" width="17.125" style="4" customWidth="1"/>
    <col min="11" max="11" width="12.625" style="4" customWidth="1"/>
    <col min="12" max="16384" width="8" style="4"/>
  </cols>
  <sheetData>
    <row r="1" spans="2:11" ht="24.95" customHeight="1">
      <c r="B1" s="338" t="s">
        <v>191</v>
      </c>
      <c r="C1" s="338"/>
      <c r="D1" s="338"/>
      <c r="E1" s="338"/>
      <c r="F1" s="338"/>
      <c r="G1" s="338"/>
      <c r="H1" s="338"/>
      <c r="I1" s="338"/>
      <c r="J1" s="338"/>
      <c r="K1" s="338"/>
    </row>
    <row r="2" spans="2:11" ht="18" customHeight="1">
      <c r="B2" s="5" t="e">
        <f>#REF!</f>
        <v>#REF!</v>
      </c>
      <c r="C2" s="6"/>
      <c r="D2" s="7"/>
      <c r="E2" s="7" t="s">
        <v>251</v>
      </c>
      <c r="F2" s="7"/>
      <c r="G2" s="7"/>
      <c r="H2" s="7"/>
      <c r="I2" s="7"/>
      <c r="J2" s="7"/>
      <c r="K2" s="7"/>
    </row>
    <row r="3" spans="2:11" ht="30.75" customHeight="1">
      <c r="B3" s="8" t="s">
        <v>27</v>
      </c>
      <c r="C3" s="9" t="s">
        <v>136</v>
      </c>
      <c r="D3" s="9" t="s">
        <v>146</v>
      </c>
      <c r="E3" s="9" t="s">
        <v>55</v>
      </c>
      <c r="F3" s="9" t="s">
        <v>26</v>
      </c>
      <c r="G3" s="9" t="s">
        <v>71</v>
      </c>
      <c r="H3" s="9" t="s">
        <v>40</v>
      </c>
      <c r="I3" s="9" t="s">
        <v>145</v>
      </c>
      <c r="J3" s="9" t="s">
        <v>126</v>
      </c>
      <c r="K3" s="10" t="s">
        <v>156</v>
      </c>
    </row>
    <row r="4" spans="2:11" ht="19.7" customHeight="1">
      <c r="B4" s="43" t="s">
        <v>53</v>
      </c>
      <c r="C4" s="35" t="s">
        <v>148</v>
      </c>
      <c r="D4" s="11"/>
      <c r="E4" s="12">
        <v>1</v>
      </c>
      <c r="F4" s="13" t="s">
        <v>57</v>
      </c>
      <c r="G4" s="36" t="e">
        <f>+#REF!</f>
        <v>#REF!</v>
      </c>
      <c r="H4" s="36" t="e">
        <f>+#REF!</f>
        <v>#REF!</v>
      </c>
      <c r="I4" s="36" t="e">
        <f>+#REF!</f>
        <v>#REF!</v>
      </c>
      <c r="J4" s="36" t="e">
        <f>H4+G4+I4</f>
        <v>#REF!</v>
      </c>
      <c r="K4" s="15" t="s">
        <v>47</v>
      </c>
    </row>
    <row r="5" spans="2:11" ht="19.7" customHeight="1">
      <c r="B5" s="44" t="s">
        <v>49</v>
      </c>
      <c r="C5" s="17" t="s">
        <v>143</v>
      </c>
      <c r="D5" s="17"/>
      <c r="E5" s="18">
        <v>1</v>
      </c>
      <c r="F5" s="19" t="s">
        <v>57</v>
      </c>
      <c r="G5" s="37" t="e">
        <f>+#REF!</f>
        <v>#REF!</v>
      </c>
      <c r="H5" s="37" t="e">
        <f>+#REF!</f>
        <v>#REF!</v>
      </c>
      <c r="I5" s="37" t="e">
        <f>+#REF!</f>
        <v>#REF!</v>
      </c>
      <c r="J5" s="37" t="e">
        <f>H5+G5+I5</f>
        <v>#REF!</v>
      </c>
      <c r="K5" s="21"/>
    </row>
    <row r="6" spans="2:11" ht="19.7" customHeight="1">
      <c r="B6" s="44" t="s">
        <v>66</v>
      </c>
      <c r="C6" s="17" t="s">
        <v>115</v>
      </c>
      <c r="D6" s="17"/>
      <c r="E6" s="18">
        <v>1</v>
      </c>
      <c r="F6" s="19" t="s">
        <v>57</v>
      </c>
      <c r="G6" s="37" t="e">
        <f>+#REF!</f>
        <v>#REF!</v>
      </c>
      <c r="H6" s="37" t="e">
        <f>+#REF!</f>
        <v>#REF!</v>
      </c>
      <c r="I6" s="37" t="e">
        <f>+#REF!</f>
        <v>#REF!</v>
      </c>
      <c r="J6" s="37" t="e">
        <f>H6+G6+I6</f>
        <v>#REF!</v>
      </c>
      <c r="K6" s="21"/>
    </row>
    <row r="7" spans="2:11" ht="19.7" customHeight="1">
      <c r="B7" s="43"/>
      <c r="C7" s="35"/>
      <c r="D7" s="11"/>
      <c r="E7" s="12"/>
      <c r="F7" s="19"/>
      <c r="G7" s="14"/>
      <c r="H7" s="14"/>
      <c r="I7" s="22"/>
      <c r="J7" s="22"/>
      <c r="K7" s="15"/>
    </row>
    <row r="8" spans="2:11" ht="19.7" customHeight="1">
      <c r="B8" s="44"/>
      <c r="C8" s="17"/>
      <c r="D8" s="17"/>
      <c r="E8" s="18"/>
      <c r="F8" s="19"/>
      <c r="G8" s="18"/>
      <c r="H8" s="18"/>
      <c r="I8" s="22"/>
      <c r="J8" s="22"/>
      <c r="K8" s="21"/>
    </row>
    <row r="9" spans="2:11" ht="19.7" customHeight="1">
      <c r="B9" s="44"/>
      <c r="C9" s="17"/>
      <c r="D9" s="17"/>
      <c r="E9" s="18"/>
      <c r="F9" s="19"/>
      <c r="G9" s="18"/>
      <c r="H9" s="18"/>
      <c r="I9" s="22"/>
      <c r="J9" s="22"/>
      <c r="K9" s="21"/>
    </row>
    <row r="10" spans="2:11" ht="19.7" customHeight="1">
      <c r="B10" s="16"/>
      <c r="C10" s="17"/>
      <c r="D10" s="17"/>
      <c r="E10" s="18"/>
      <c r="F10" s="19"/>
      <c r="G10" s="22"/>
      <c r="H10" s="22"/>
      <c r="I10" s="22"/>
      <c r="J10" s="22"/>
      <c r="K10" s="21"/>
    </row>
    <row r="11" spans="2:11" ht="19.7" customHeight="1">
      <c r="B11" s="16"/>
      <c r="C11" s="17"/>
      <c r="D11" s="17"/>
      <c r="E11" s="23"/>
      <c r="F11" s="19"/>
      <c r="G11" s="18"/>
      <c r="H11" s="18"/>
      <c r="I11" s="18"/>
      <c r="J11" s="22"/>
      <c r="K11" s="21"/>
    </row>
    <row r="12" spans="2:11" ht="19.7" customHeight="1">
      <c r="B12" s="16"/>
      <c r="C12" s="17"/>
      <c r="D12" s="17"/>
      <c r="E12" s="23"/>
      <c r="F12" s="19"/>
      <c r="G12" s="18"/>
      <c r="H12" s="18"/>
      <c r="I12" s="18"/>
      <c r="J12" s="22"/>
      <c r="K12" s="21"/>
    </row>
    <row r="13" spans="2:11" ht="19.7" customHeight="1">
      <c r="B13" s="16" t="s">
        <v>47</v>
      </c>
      <c r="C13" s="17"/>
      <c r="D13" s="17"/>
      <c r="E13" s="23"/>
      <c r="F13" s="19"/>
      <c r="G13" s="18"/>
      <c r="H13" s="18"/>
      <c r="I13" s="18"/>
      <c r="J13" s="22"/>
      <c r="K13" s="21"/>
    </row>
    <row r="14" spans="2:11" ht="19.7" customHeight="1">
      <c r="B14" s="16" t="s">
        <v>47</v>
      </c>
      <c r="C14" s="17"/>
      <c r="D14" s="17"/>
      <c r="E14" s="23"/>
      <c r="F14" s="19"/>
      <c r="G14" s="18"/>
      <c r="H14" s="18"/>
      <c r="I14" s="18"/>
      <c r="J14" s="22"/>
      <c r="K14" s="21"/>
    </row>
    <row r="15" spans="2:11" ht="19.7" customHeight="1">
      <c r="B15" s="16" t="s">
        <v>47</v>
      </c>
      <c r="C15" s="17"/>
      <c r="D15" s="17"/>
      <c r="E15" s="23"/>
      <c r="F15" s="19"/>
      <c r="G15" s="18"/>
      <c r="H15" s="18"/>
      <c r="I15" s="18"/>
      <c r="J15" s="22"/>
      <c r="K15" s="21"/>
    </row>
    <row r="16" spans="2:11" ht="19.7" customHeight="1">
      <c r="B16" s="16" t="s">
        <v>47</v>
      </c>
      <c r="C16" s="17"/>
      <c r="D16" s="17"/>
      <c r="E16" s="23"/>
      <c r="F16" s="19"/>
      <c r="G16" s="18"/>
      <c r="H16" s="18"/>
      <c r="I16" s="18"/>
      <c r="J16" s="22"/>
      <c r="K16" s="21"/>
    </row>
    <row r="17" spans="2:11" ht="19.7" customHeight="1">
      <c r="B17" s="16" t="s">
        <v>47</v>
      </c>
      <c r="C17" s="17"/>
      <c r="D17" s="17"/>
      <c r="E17" s="23"/>
      <c r="F17" s="19"/>
      <c r="G17" s="18"/>
      <c r="H17" s="18"/>
      <c r="I17" s="18"/>
      <c r="J17" s="22"/>
      <c r="K17" s="21"/>
    </row>
    <row r="18" spans="2:11" ht="19.7" customHeight="1">
      <c r="B18" s="16" t="s">
        <v>47</v>
      </c>
      <c r="C18" s="17"/>
      <c r="D18" s="17"/>
      <c r="E18" s="23"/>
      <c r="F18" s="19"/>
      <c r="G18" s="18"/>
      <c r="H18" s="18"/>
      <c r="I18" s="18"/>
      <c r="J18" s="22"/>
      <c r="K18" s="21"/>
    </row>
    <row r="19" spans="2:11" ht="19.7" customHeight="1">
      <c r="B19" s="16" t="s">
        <v>47</v>
      </c>
      <c r="C19" s="17"/>
      <c r="D19" s="17"/>
      <c r="E19" s="23"/>
      <c r="F19" s="19"/>
      <c r="G19" s="18"/>
      <c r="H19" s="18"/>
      <c r="I19" s="18"/>
      <c r="J19" s="22"/>
      <c r="K19" s="21"/>
    </row>
    <row r="20" spans="2:11" ht="19.7" customHeight="1">
      <c r="B20" s="16" t="s">
        <v>47</v>
      </c>
      <c r="C20" s="17"/>
      <c r="D20" s="17"/>
      <c r="E20" s="23"/>
      <c r="F20" s="19"/>
      <c r="G20" s="18"/>
      <c r="H20" s="18"/>
      <c r="I20" s="18"/>
      <c r="J20" s="22"/>
      <c r="K20" s="21"/>
    </row>
    <row r="21" spans="2:11" ht="19.7" customHeight="1">
      <c r="B21" s="16" t="s">
        <v>47</v>
      </c>
      <c r="C21" s="17"/>
      <c r="D21" s="17"/>
      <c r="E21" s="18"/>
      <c r="F21" s="19"/>
      <c r="G21" s="18"/>
      <c r="H21" s="18"/>
      <c r="I21" s="18"/>
      <c r="J21" s="22"/>
      <c r="K21" s="21"/>
    </row>
    <row r="22" spans="2:11" ht="19.7" customHeight="1">
      <c r="B22" s="16" t="s">
        <v>47</v>
      </c>
      <c r="C22" s="17"/>
      <c r="D22" s="17"/>
      <c r="E22" s="18"/>
      <c r="F22" s="19"/>
      <c r="G22" s="18"/>
      <c r="H22" s="18"/>
      <c r="I22" s="18"/>
      <c r="J22" s="22"/>
      <c r="K22" s="21"/>
    </row>
    <row r="23" spans="2:11" ht="19.7" customHeight="1">
      <c r="B23" s="16" t="s">
        <v>47</v>
      </c>
      <c r="C23" s="17"/>
      <c r="D23" s="17"/>
      <c r="E23" s="18"/>
      <c r="F23" s="19"/>
      <c r="G23" s="18"/>
      <c r="H23" s="18"/>
      <c r="I23" s="18"/>
      <c r="J23" s="22"/>
      <c r="K23" s="21"/>
    </row>
    <row r="24" spans="2:11" ht="19.7" customHeight="1">
      <c r="B24" s="16" t="s">
        <v>47</v>
      </c>
      <c r="C24" s="17"/>
      <c r="D24" s="17"/>
      <c r="E24" s="18"/>
      <c r="F24" s="19"/>
      <c r="G24" s="18"/>
      <c r="H24" s="18"/>
      <c r="I24" s="18"/>
      <c r="J24" s="22"/>
      <c r="K24" s="21"/>
    </row>
    <row r="25" spans="2:11" ht="19.7" customHeight="1">
      <c r="B25" s="16" t="s">
        <v>47</v>
      </c>
      <c r="C25" s="17"/>
      <c r="D25" s="17"/>
      <c r="E25" s="18"/>
      <c r="F25" s="19"/>
      <c r="G25" s="18"/>
      <c r="H25" s="18"/>
      <c r="I25" s="18"/>
      <c r="J25" s="22"/>
      <c r="K25" s="21"/>
    </row>
    <row r="26" spans="2:11" ht="19.7" customHeight="1">
      <c r="B26" s="16" t="s">
        <v>47</v>
      </c>
      <c r="C26" s="17"/>
      <c r="D26" s="17"/>
      <c r="E26" s="18"/>
      <c r="F26" s="19"/>
      <c r="G26" s="18"/>
      <c r="H26" s="18"/>
      <c r="I26" s="18"/>
      <c r="J26" s="22"/>
      <c r="K26" s="21"/>
    </row>
    <row r="27" spans="2:11" ht="19.7" customHeight="1">
      <c r="B27" s="16" t="s">
        <v>47</v>
      </c>
      <c r="C27" s="17"/>
      <c r="D27" s="17"/>
      <c r="E27" s="18"/>
      <c r="F27" s="19"/>
      <c r="G27" s="18"/>
      <c r="H27" s="18"/>
      <c r="I27" s="18"/>
      <c r="J27" s="22"/>
      <c r="K27" s="21"/>
    </row>
    <row r="28" spans="2:11" ht="19.7" customHeight="1">
      <c r="B28" s="16" t="s">
        <v>47</v>
      </c>
      <c r="C28" s="17"/>
      <c r="D28" s="17"/>
      <c r="E28" s="18"/>
      <c r="F28" s="19"/>
      <c r="G28" s="18"/>
      <c r="H28" s="18"/>
      <c r="I28" s="18"/>
      <c r="J28" s="22"/>
      <c r="K28" s="21"/>
    </row>
    <row r="29" spans="2:11" ht="19.7" customHeight="1">
      <c r="B29" s="24" t="s">
        <v>47</v>
      </c>
      <c r="C29" s="25"/>
      <c r="D29" s="25"/>
      <c r="E29" s="26"/>
      <c r="F29" s="27"/>
      <c r="G29" s="26"/>
      <c r="H29" s="26"/>
      <c r="I29" s="26"/>
      <c r="J29" s="28"/>
      <c r="K29" s="29"/>
    </row>
    <row r="30" spans="2:11" ht="19.7" customHeight="1">
      <c r="B30" s="30"/>
      <c r="C30" s="31" t="s">
        <v>172</v>
      </c>
      <c r="D30" s="32"/>
      <c r="E30" s="32"/>
      <c r="F30" s="32"/>
      <c r="G30" s="32" t="e">
        <f>+G4+G5+G6+G7+G8+G9+G10+G11+G12+G13+G14+G15</f>
        <v>#REF!</v>
      </c>
      <c r="H30" s="32" t="e">
        <f>+H4+H5+H6+H7+H8+H9+H10+H11+H12+H13+H14+H15</f>
        <v>#REF!</v>
      </c>
      <c r="I30" s="32" t="e">
        <f>+I4+I5+I6+I7+I8+I9+I10+I11+I12+I13+I14+I15</f>
        <v>#REF!</v>
      </c>
      <c r="J30" s="32" t="e">
        <f>+J4+J5+J6+J7+J8+J9+J10+J11+J12+J13+J14+J15</f>
        <v>#REF!</v>
      </c>
      <c r="K30" s="33"/>
    </row>
    <row r="31" spans="2:11">
      <c r="B31" s="34"/>
      <c r="C31" s="34"/>
      <c r="D31" s="34"/>
      <c r="E31" s="34"/>
      <c r="F31" s="34"/>
      <c r="G31" s="34"/>
      <c r="H31" s="34"/>
      <c r="I31" s="34"/>
      <c r="J31" s="34"/>
      <c r="K31" s="34"/>
    </row>
    <row r="37" spans="7:10">
      <c r="G37" s="22">
        <v>144354698</v>
      </c>
      <c r="H37" s="22">
        <v>128764670</v>
      </c>
      <c r="I37" s="22">
        <v>2447470</v>
      </c>
      <c r="J37" s="22">
        <f>H37+G37+I37</f>
        <v>275566838</v>
      </c>
    </row>
  </sheetData>
  <mergeCells count="1">
    <mergeCell ref="B1:K1"/>
  </mergeCells>
  <phoneticPr fontId="33" type="noConversion"/>
  <pageMargins left="0.98416668176651001" right="7.8611113131046295E-2" top="0.6691666841506958" bottom="0.59041666984558105" header="0.51138889789581299" footer="0.51138889789581299"/>
  <pageSetup paperSize="9" scale="8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2"/>
  <dimension ref="B1:K37"/>
  <sheetViews>
    <sheetView view="pageBreakPreview" topLeftCell="B1" zoomScaleNormal="100" zoomScaleSheetLayoutView="100" workbookViewId="0">
      <pane ySplit="3" topLeftCell="A4" activePane="bottomLeft" state="frozen"/>
      <selection pane="bottomLeft" activeCell="C23" sqref="C23"/>
    </sheetView>
  </sheetViews>
  <sheetFormatPr defaultColWidth="8" defaultRowHeight="12.75"/>
  <cols>
    <col min="1" max="1" width="0.625" style="4" customWidth="1"/>
    <col min="2" max="2" width="7.25" style="4" customWidth="1"/>
    <col min="3" max="3" width="21.625" style="4" customWidth="1"/>
    <col min="4" max="4" width="19.875" style="4" customWidth="1"/>
    <col min="5" max="5" width="12.625" style="4" customWidth="1"/>
    <col min="6" max="6" width="7.25" style="4" customWidth="1"/>
    <col min="7" max="7" width="14.5" style="4" customWidth="1"/>
    <col min="8" max="8" width="15" style="4" customWidth="1"/>
    <col min="9" max="9" width="15.125" style="4" customWidth="1"/>
    <col min="10" max="10" width="17.125" style="4" customWidth="1"/>
    <col min="11" max="11" width="12.625" style="4" customWidth="1"/>
    <col min="12" max="16384" width="8" style="4"/>
  </cols>
  <sheetData>
    <row r="1" spans="2:11" ht="24.95" customHeight="1">
      <c r="B1" s="338" t="s">
        <v>191</v>
      </c>
      <c r="C1" s="338"/>
      <c r="D1" s="338"/>
      <c r="E1" s="338"/>
      <c r="F1" s="338"/>
      <c r="G1" s="338"/>
      <c r="H1" s="338"/>
      <c r="I1" s="338"/>
      <c r="J1" s="338"/>
      <c r="K1" s="338"/>
    </row>
    <row r="2" spans="2:11" ht="18" customHeight="1">
      <c r="B2" s="5" t="e">
        <f>#REF!</f>
        <v>#REF!</v>
      </c>
      <c r="C2" s="6"/>
      <c r="D2" s="7"/>
      <c r="E2" s="7" t="s">
        <v>254</v>
      </c>
      <c r="F2" s="7"/>
      <c r="G2" s="7"/>
      <c r="H2" s="7"/>
      <c r="I2" s="7"/>
      <c r="J2" s="7"/>
      <c r="K2" s="7"/>
    </row>
    <row r="3" spans="2:11" ht="30.75" customHeight="1">
      <c r="B3" s="8" t="s">
        <v>27</v>
      </c>
      <c r="C3" s="9" t="s">
        <v>136</v>
      </c>
      <c r="D3" s="9" t="s">
        <v>146</v>
      </c>
      <c r="E3" s="9" t="s">
        <v>55</v>
      </c>
      <c r="F3" s="9" t="s">
        <v>26</v>
      </c>
      <c r="G3" s="9" t="s">
        <v>71</v>
      </c>
      <c r="H3" s="9" t="s">
        <v>40</v>
      </c>
      <c r="I3" s="9" t="s">
        <v>145</v>
      </c>
      <c r="J3" s="9" t="s">
        <v>126</v>
      </c>
      <c r="K3" s="10" t="s">
        <v>156</v>
      </c>
    </row>
    <row r="4" spans="2:11" ht="19.7" customHeight="1">
      <c r="B4" s="43" t="s">
        <v>53</v>
      </c>
      <c r="C4" s="35" t="s">
        <v>148</v>
      </c>
      <c r="D4" s="11"/>
      <c r="E4" s="12">
        <v>1</v>
      </c>
      <c r="F4" s="13" t="s">
        <v>57</v>
      </c>
      <c r="G4" s="36" t="e">
        <f>+#REF!</f>
        <v>#REF!</v>
      </c>
      <c r="H4" s="36" t="e">
        <f>+#REF!</f>
        <v>#REF!</v>
      </c>
      <c r="I4" s="36" t="e">
        <f>+#REF!</f>
        <v>#REF!</v>
      </c>
      <c r="J4" s="36" t="e">
        <f>H4+G4+I4</f>
        <v>#REF!</v>
      </c>
      <c r="K4" s="15" t="s">
        <v>47</v>
      </c>
    </row>
    <row r="5" spans="2:11" ht="19.7" customHeight="1">
      <c r="B5" s="44" t="s">
        <v>49</v>
      </c>
      <c r="C5" s="17" t="s">
        <v>143</v>
      </c>
      <c r="D5" s="17"/>
      <c r="E5" s="18">
        <v>1</v>
      </c>
      <c r="F5" s="19" t="s">
        <v>57</v>
      </c>
      <c r="G5" s="37" t="e">
        <f>+#REF!</f>
        <v>#REF!</v>
      </c>
      <c r="H5" s="37" t="e">
        <f>+#REF!</f>
        <v>#REF!</v>
      </c>
      <c r="I5" s="37" t="e">
        <f>+#REF!</f>
        <v>#REF!</v>
      </c>
      <c r="J5" s="37" t="e">
        <f>H5+G5+I5</f>
        <v>#REF!</v>
      </c>
      <c r="K5" s="21"/>
    </row>
    <row r="6" spans="2:11" ht="19.7" customHeight="1">
      <c r="B6" s="44" t="s">
        <v>66</v>
      </c>
      <c r="C6" s="17" t="s">
        <v>115</v>
      </c>
      <c r="D6" s="17"/>
      <c r="E6" s="18">
        <v>1</v>
      </c>
      <c r="F6" s="19" t="s">
        <v>57</v>
      </c>
      <c r="G6" s="37" t="e">
        <f>+#REF!</f>
        <v>#REF!</v>
      </c>
      <c r="H6" s="37" t="e">
        <f>+#REF!</f>
        <v>#REF!</v>
      </c>
      <c r="I6" s="37" t="e">
        <f>+#REF!</f>
        <v>#REF!</v>
      </c>
      <c r="J6" s="37" t="e">
        <f>H6+G6+I6</f>
        <v>#REF!</v>
      </c>
      <c r="K6" s="21"/>
    </row>
    <row r="7" spans="2:11" ht="19.7" customHeight="1">
      <c r="B7" s="43"/>
      <c r="C7" s="17"/>
      <c r="D7" s="11"/>
      <c r="E7" s="12"/>
      <c r="F7" s="19"/>
      <c r="G7" s="36"/>
      <c r="H7" s="36"/>
      <c r="I7" s="37"/>
      <c r="J7" s="37"/>
      <c r="K7" s="15"/>
    </row>
    <row r="8" spans="2:11" ht="19.7" customHeight="1">
      <c r="B8" s="44"/>
      <c r="C8" s="17"/>
      <c r="D8" s="17"/>
      <c r="E8" s="18"/>
      <c r="F8" s="19"/>
      <c r="G8" s="37"/>
      <c r="H8" s="37"/>
      <c r="I8" s="37"/>
      <c r="J8" s="37"/>
      <c r="K8" s="21"/>
    </row>
    <row r="9" spans="2:11" ht="19.7" customHeight="1">
      <c r="B9" s="44"/>
      <c r="C9" s="17"/>
      <c r="D9" s="17"/>
      <c r="E9" s="18"/>
      <c r="F9" s="19"/>
      <c r="G9" s="37"/>
      <c r="H9" s="37"/>
      <c r="I9" s="37"/>
      <c r="J9" s="37"/>
      <c r="K9" s="21"/>
    </row>
    <row r="10" spans="2:11" ht="19.7" customHeight="1">
      <c r="B10" s="16"/>
      <c r="C10" s="17"/>
      <c r="D10" s="17"/>
      <c r="E10" s="18"/>
      <c r="F10" s="19"/>
      <c r="G10" s="37"/>
      <c r="H10" s="37"/>
      <c r="I10" s="37"/>
      <c r="J10" s="37"/>
      <c r="K10" s="21"/>
    </row>
    <row r="11" spans="2:11" ht="19.7" customHeight="1">
      <c r="B11" s="16"/>
      <c r="C11" s="17"/>
      <c r="D11" s="17"/>
      <c r="E11" s="23"/>
      <c r="F11" s="19"/>
      <c r="G11" s="37"/>
      <c r="H11" s="37"/>
      <c r="I11" s="37"/>
      <c r="J11" s="37"/>
      <c r="K11" s="21"/>
    </row>
    <row r="12" spans="2:11" ht="19.7" customHeight="1">
      <c r="B12" s="16"/>
      <c r="C12" s="17"/>
      <c r="D12" s="17"/>
      <c r="E12" s="23"/>
      <c r="F12" s="19"/>
      <c r="G12" s="37"/>
      <c r="H12" s="37"/>
      <c r="I12" s="37"/>
      <c r="J12" s="37"/>
      <c r="K12" s="21"/>
    </row>
    <row r="13" spans="2:11" ht="19.7" customHeight="1">
      <c r="B13" s="16" t="s">
        <v>47</v>
      </c>
      <c r="C13" s="17"/>
      <c r="D13" s="17"/>
      <c r="E13" s="23"/>
      <c r="F13" s="19"/>
      <c r="G13" s="37"/>
      <c r="H13" s="37"/>
      <c r="I13" s="37"/>
      <c r="J13" s="37"/>
      <c r="K13" s="21"/>
    </row>
    <row r="14" spans="2:11" ht="19.7" customHeight="1">
      <c r="B14" s="16" t="s">
        <v>47</v>
      </c>
      <c r="C14" s="17"/>
      <c r="D14" s="17"/>
      <c r="E14" s="23"/>
      <c r="F14" s="19"/>
      <c r="G14" s="37"/>
      <c r="H14" s="37"/>
      <c r="I14" s="37"/>
      <c r="J14" s="37"/>
      <c r="K14" s="21"/>
    </row>
    <row r="15" spans="2:11" ht="19.7" customHeight="1">
      <c r="B15" s="16" t="s">
        <v>47</v>
      </c>
      <c r="C15" s="17"/>
      <c r="D15" s="17"/>
      <c r="E15" s="23"/>
      <c r="F15" s="19"/>
      <c r="G15" s="37"/>
      <c r="H15" s="37"/>
      <c r="I15" s="37"/>
      <c r="J15" s="37"/>
      <c r="K15" s="21"/>
    </row>
    <row r="16" spans="2:11" ht="19.7" customHeight="1">
      <c r="B16" s="16" t="s">
        <v>47</v>
      </c>
      <c r="C16" s="17"/>
      <c r="D16" s="17"/>
      <c r="E16" s="23"/>
      <c r="F16" s="19"/>
      <c r="G16" s="37"/>
      <c r="H16" s="37"/>
      <c r="I16" s="37"/>
      <c r="J16" s="37"/>
      <c r="K16" s="21"/>
    </row>
    <row r="17" spans="2:11" ht="19.7" customHeight="1">
      <c r="B17" s="16" t="s">
        <v>47</v>
      </c>
      <c r="C17" s="17"/>
      <c r="D17" s="17"/>
      <c r="E17" s="23"/>
      <c r="F17" s="19"/>
      <c r="G17" s="37"/>
      <c r="H17" s="37"/>
      <c r="I17" s="37"/>
      <c r="J17" s="37"/>
      <c r="K17" s="21"/>
    </row>
    <row r="18" spans="2:11" ht="19.7" customHeight="1">
      <c r="B18" s="16" t="s">
        <v>47</v>
      </c>
      <c r="C18" s="17"/>
      <c r="D18" s="17"/>
      <c r="E18" s="23"/>
      <c r="F18" s="19"/>
      <c r="G18" s="37"/>
      <c r="H18" s="37"/>
      <c r="I18" s="37"/>
      <c r="J18" s="37"/>
      <c r="K18" s="21"/>
    </row>
    <row r="19" spans="2:11" ht="19.7" customHeight="1">
      <c r="B19" s="16" t="s">
        <v>47</v>
      </c>
      <c r="C19" s="17"/>
      <c r="D19" s="17"/>
      <c r="E19" s="23"/>
      <c r="F19" s="19"/>
      <c r="G19" s="37"/>
      <c r="H19" s="37"/>
      <c r="I19" s="37"/>
      <c r="J19" s="37"/>
      <c r="K19" s="21"/>
    </row>
    <row r="20" spans="2:11" ht="19.7" customHeight="1">
      <c r="B20" s="16" t="s">
        <v>47</v>
      </c>
      <c r="C20" s="17"/>
      <c r="D20" s="17"/>
      <c r="E20" s="23"/>
      <c r="F20" s="19"/>
      <c r="G20" s="37"/>
      <c r="H20" s="37"/>
      <c r="I20" s="37"/>
      <c r="J20" s="37"/>
      <c r="K20" s="21"/>
    </row>
    <row r="21" spans="2:11" ht="19.7" customHeight="1">
      <c r="B21" s="16" t="s">
        <v>47</v>
      </c>
      <c r="C21" s="17"/>
      <c r="D21" s="17"/>
      <c r="E21" s="18"/>
      <c r="F21" s="19"/>
      <c r="G21" s="37"/>
      <c r="H21" s="37"/>
      <c r="I21" s="37"/>
      <c r="J21" s="37"/>
      <c r="K21" s="21"/>
    </row>
    <row r="22" spans="2:11" ht="19.7" customHeight="1">
      <c r="B22" s="16" t="s">
        <v>47</v>
      </c>
      <c r="C22" s="17"/>
      <c r="D22" s="17"/>
      <c r="E22" s="18"/>
      <c r="F22" s="19"/>
      <c r="G22" s="37"/>
      <c r="H22" s="37"/>
      <c r="I22" s="37"/>
      <c r="J22" s="37"/>
      <c r="K22" s="21"/>
    </row>
    <row r="23" spans="2:11" ht="19.7" customHeight="1">
      <c r="B23" s="16" t="s">
        <v>47</v>
      </c>
      <c r="C23" s="17"/>
      <c r="D23" s="17"/>
      <c r="E23" s="18"/>
      <c r="F23" s="19"/>
      <c r="G23" s="37"/>
      <c r="H23" s="37"/>
      <c r="I23" s="37"/>
      <c r="J23" s="37"/>
      <c r="K23" s="21"/>
    </row>
    <row r="24" spans="2:11" ht="19.7" customHeight="1">
      <c r="B24" s="16" t="s">
        <v>47</v>
      </c>
      <c r="C24" s="17"/>
      <c r="D24" s="17"/>
      <c r="E24" s="18"/>
      <c r="F24" s="19"/>
      <c r="G24" s="37"/>
      <c r="H24" s="37"/>
      <c r="I24" s="37"/>
      <c r="J24" s="37"/>
      <c r="K24" s="21"/>
    </row>
    <row r="25" spans="2:11" ht="19.7" customHeight="1">
      <c r="B25" s="16" t="s">
        <v>47</v>
      </c>
      <c r="C25" s="17"/>
      <c r="D25" s="17"/>
      <c r="E25" s="18"/>
      <c r="F25" s="19"/>
      <c r="G25" s="37"/>
      <c r="H25" s="37"/>
      <c r="I25" s="37"/>
      <c r="J25" s="37"/>
      <c r="K25" s="21"/>
    </row>
    <row r="26" spans="2:11" ht="19.7" customHeight="1">
      <c r="B26" s="16" t="s">
        <v>47</v>
      </c>
      <c r="C26" s="17"/>
      <c r="D26" s="17"/>
      <c r="E26" s="18"/>
      <c r="F26" s="19"/>
      <c r="G26" s="37"/>
      <c r="H26" s="37"/>
      <c r="I26" s="37"/>
      <c r="J26" s="37"/>
      <c r="K26" s="21"/>
    </row>
    <row r="27" spans="2:11" ht="19.7" customHeight="1">
      <c r="B27" s="16" t="s">
        <v>47</v>
      </c>
      <c r="C27" s="17"/>
      <c r="D27" s="17"/>
      <c r="E27" s="18"/>
      <c r="F27" s="19"/>
      <c r="G27" s="37"/>
      <c r="H27" s="37"/>
      <c r="I27" s="37"/>
      <c r="J27" s="37"/>
      <c r="K27" s="21"/>
    </row>
    <row r="28" spans="2:11" ht="19.7" customHeight="1">
      <c r="B28" s="16" t="s">
        <v>47</v>
      </c>
      <c r="C28" s="17"/>
      <c r="D28" s="17"/>
      <c r="E28" s="18"/>
      <c r="F28" s="19"/>
      <c r="G28" s="37"/>
      <c r="H28" s="37"/>
      <c r="I28" s="37"/>
      <c r="J28" s="37"/>
      <c r="K28" s="21"/>
    </row>
    <row r="29" spans="2:11" ht="19.7" customHeight="1">
      <c r="B29" s="24" t="s">
        <v>47</v>
      </c>
      <c r="C29" s="25"/>
      <c r="D29" s="25"/>
      <c r="E29" s="26"/>
      <c r="F29" s="27"/>
      <c r="G29" s="40"/>
      <c r="H29" s="40"/>
      <c r="I29" s="40"/>
      <c r="J29" s="40"/>
      <c r="K29" s="29"/>
    </row>
    <row r="30" spans="2:11" ht="19.7" customHeight="1">
      <c r="B30" s="30"/>
      <c r="C30" s="31" t="s">
        <v>172</v>
      </c>
      <c r="D30" s="32"/>
      <c r="E30" s="32"/>
      <c r="F30" s="32"/>
      <c r="G30" s="45" t="e">
        <f>+G4+G5+G6+G7+G8+G9+G10+G11+G12+G13+G14+G15</f>
        <v>#REF!</v>
      </c>
      <c r="H30" s="45" t="e">
        <f>+H4+H5+H6+H7+H8+H9+H10+H11+H12+H13+H14+H15</f>
        <v>#REF!</v>
      </c>
      <c r="I30" s="45" t="e">
        <f>+I4+I5+I6+I7+I8+I9+I10+I11+I12+I13+I14+I15</f>
        <v>#REF!</v>
      </c>
      <c r="J30" s="45" t="e">
        <f>+J4+J5+J6+J7+J8+J9+J10+J11+J12+J13+J14+J15</f>
        <v>#REF!</v>
      </c>
      <c r="K30" s="33"/>
    </row>
    <row r="31" spans="2:11">
      <c r="B31" s="34"/>
      <c r="C31" s="34"/>
      <c r="D31" s="34"/>
      <c r="E31" s="34"/>
      <c r="F31" s="34"/>
      <c r="G31" s="34"/>
      <c r="H31" s="34"/>
      <c r="I31" s="34"/>
      <c r="J31" s="34"/>
      <c r="K31" s="34"/>
    </row>
    <row r="37" spans="7:10">
      <c r="G37" s="22">
        <v>144354698</v>
      </c>
      <c r="H37" s="22">
        <v>128764670</v>
      </c>
      <c r="I37" s="22">
        <v>2447470</v>
      </c>
      <c r="J37" s="22">
        <f>H37+G37+I37</f>
        <v>275566838</v>
      </c>
    </row>
  </sheetData>
  <mergeCells count="1">
    <mergeCell ref="B1:K1"/>
  </mergeCells>
  <phoneticPr fontId="33" type="noConversion"/>
  <pageMargins left="0.98416668176651001" right="7.8611113131046295E-2" top="0.6691666841506958" bottom="0.59041666984558105" header="0.51138889789581299" footer="0.51138889789581299"/>
  <pageSetup paperSize="9" scale="8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3"/>
  <dimension ref="B1:K37"/>
  <sheetViews>
    <sheetView view="pageBreakPreview" zoomScaleNormal="100" zoomScaleSheetLayoutView="100" workbookViewId="0">
      <pane ySplit="3" topLeftCell="A4" activePane="bottomLeft" state="frozen"/>
      <selection pane="bottomLeft" activeCell="C23" sqref="C23"/>
    </sheetView>
  </sheetViews>
  <sheetFormatPr defaultColWidth="8" defaultRowHeight="12.75"/>
  <cols>
    <col min="1" max="1" width="0.625" style="4" customWidth="1"/>
    <col min="2" max="2" width="7.25" style="4" customWidth="1"/>
    <col min="3" max="3" width="21.625" style="4" customWidth="1"/>
    <col min="4" max="4" width="19.875" style="4" customWidth="1"/>
    <col min="5" max="5" width="12.625" style="4" customWidth="1"/>
    <col min="6" max="6" width="7.25" style="4" customWidth="1"/>
    <col min="7" max="7" width="14.5" style="4" customWidth="1"/>
    <col min="8" max="8" width="15" style="4" customWidth="1"/>
    <col min="9" max="9" width="15.125" style="4" customWidth="1"/>
    <col min="10" max="10" width="17.125" style="4" customWidth="1"/>
    <col min="11" max="11" width="12.625" style="4" customWidth="1"/>
    <col min="12" max="16384" width="8" style="4"/>
  </cols>
  <sheetData>
    <row r="1" spans="2:11" ht="24.95" customHeight="1">
      <c r="B1" s="338" t="s">
        <v>191</v>
      </c>
      <c r="C1" s="338"/>
      <c r="D1" s="338"/>
      <c r="E1" s="338"/>
      <c r="F1" s="338"/>
      <c r="G1" s="338"/>
      <c r="H1" s="338"/>
      <c r="I1" s="338"/>
      <c r="J1" s="338"/>
      <c r="K1" s="338"/>
    </row>
    <row r="2" spans="2:11" ht="18" customHeight="1">
      <c r="B2" s="5" t="e">
        <f>#REF!</f>
        <v>#REF!</v>
      </c>
      <c r="C2" s="6"/>
      <c r="D2" s="7"/>
      <c r="E2" s="7" t="s">
        <v>249</v>
      </c>
      <c r="F2" s="7"/>
      <c r="G2" s="7"/>
      <c r="H2" s="7"/>
      <c r="I2" s="7"/>
      <c r="J2" s="7"/>
      <c r="K2" s="7"/>
    </row>
    <row r="3" spans="2:11" ht="30.75" customHeight="1">
      <c r="B3" s="8" t="s">
        <v>27</v>
      </c>
      <c r="C3" s="9" t="s">
        <v>136</v>
      </c>
      <c r="D3" s="9" t="s">
        <v>146</v>
      </c>
      <c r="E3" s="9" t="s">
        <v>55</v>
      </c>
      <c r="F3" s="9" t="s">
        <v>26</v>
      </c>
      <c r="G3" s="9" t="s">
        <v>71</v>
      </c>
      <c r="H3" s="9" t="s">
        <v>40</v>
      </c>
      <c r="I3" s="9" t="s">
        <v>145</v>
      </c>
      <c r="J3" s="9" t="s">
        <v>126</v>
      </c>
      <c r="K3" s="10" t="s">
        <v>156</v>
      </c>
    </row>
    <row r="4" spans="2:11" ht="19.7" customHeight="1">
      <c r="B4" s="44" t="s">
        <v>53</v>
      </c>
      <c r="C4" s="17" t="s">
        <v>114</v>
      </c>
      <c r="D4" s="17"/>
      <c r="E4" s="18">
        <v>1</v>
      </c>
      <c r="F4" s="19" t="s">
        <v>57</v>
      </c>
      <c r="G4" s="37" t="e">
        <f>+#REF!</f>
        <v>#REF!</v>
      </c>
      <c r="H4" s="37" t="e">
        <f>+#REF!</f>
        <v>#REF!</v>
      </c>
      <c r="I4" s="37" t="e">
        <f>+#REF!</f>
        <v>#REF!</v>
      </c>
      <c r="J4" s="37" t="e">
        <f>H4+G4+I4</f>
        <v>#REF!</v>
      </c>
      <c r="K4" s="21"/>
    </row>
    <row r="5" spans="2:11" ht="19.7" customHeight="1">
      <c r="B5" s="44" t="s">
        <v>49</v>
      </c>
      <c r="C5" s="17" t="s">
        <v>155</v>
      </c>
      <c r="D5" s="17"/>
      <c r="E5" s="18">
        <v>1</v>
      </c>
      <c r="F5" s="19" t="s">
        <v>57</v>
      </c>
      <c r="G5" s="37" t="e">
        <f>+#REF!</f>
        <v>#REF!</v>
      </c>
      <c r="H5" s="37" t="e">
        <f>+#REF!</f>
        <v>#REF!</v>
      </c>
      <c r="I5" s="37" t="e">
        <f>+#REF!</f>
        <v>#REF!</v>
      </c>
      <c r="J5" s="37" t="e">
        <f>H5+G5+I5</f>
        <v>#REF!</v>
      </c>
      <c r="K5" s="21"/>
    </row>
    <row r="6" spans="2:11" ht="19.7" customHeight="1">
      <c r="B6" s="16"/>
      <c r="C6" s="17"/>
      <c r="D6" s="17"/>
      <c r="E6" s="18"/>
      <c r="F6" s="19"/>
      <c r="G6" s="37"/>
      <c r="H6" s="37"/>
      <c r="I6" s="37"/>
      <c r="J6" s="37"/>
      <c r="K6" s="21"/>
    </row>
    <row r="7" spans="2:11" ht="19.7" customHeight="1">
      <c r="B7" s="43"/>
      <c r="C7" s="35"/>
      <c r="D7" s="11"/>
      <c r="E7" s="18"/>
      <c r="F7" s="19"/>
      <c r="G7" s="36"/>
      <c r="H7" s="36"/>
      <c r="I7" s="36"/>
      <c r="J7" s="37"/>
      <c r="K7" s="15"/>
    </row>
    <row r="8" spans="2:11" ht="19.7" customHeight="1">
      <c r="B8" s="44"/>
      <c r="C8" s="17"/>
      <c r="D8" s="17"/>
      <c r="E8" s="18"/>
      <c r="F8" s="19"/>
      <c r="G8" s="37"/>
      <c r="H8" s="37"/>
      <c r="I8" s="37"/>
      <c r="J8" s="37"/>
      <c r="K8" s="21"/>
    </row>
    <row r="9" spans="2:11" ht="19.7" customHeight="1">
      <c r="B9" s="44"/>
      <c r="C9" s="17"/>
      <c r="D9" s="17"/>
      <c r="E9" s="18"/>
      <c r="F9" s="19"/>
      <c r="G9" s="37"/>
      <c r="H9" s="37"/>
      <c r="I9" s="37"/>
      <c r="J9" s="37"/>
      <c r="K9" s="21"/>
    </row>
    <row r="10" spans="2:11" ht="19.7" customHeight="1">
      <c r="B10" s="44"/>
      <c r="C10" s="17"/>
      <c r="D10" s="17"/>
      <c r="E10" s="18"/>
      <c r="F10" s="19"/>
      <c r="G10" s="37"/>
      <c r="H10" s="37"/>
      <c r="I10" s="37"/>
      <c r="J10" s="37"/>
      <c r="K10" s="21"/>
    </row>
    <row r="11" spans="2:11" ht="19.7" customHeight="1">
      <c r="B11" s="16"/>
      <c r="C11" s="17"/>
      <c r="D11" s="17"/>
      <c r="E11" s="23"/>
      <c r="F11" s="19"/>
      <c r="G11" s="37"/>
      <c r="H11" s="37"/>
      <c r="I11" s="37"/>
      <c r="J11" s="37"/>
      <c r="K11" s="21"/>
    </row>
    <row r="12" spans="2:11" ht="19.7" customHeight="1">
      <c r="B12" s="16"/>
      <c r="C12" s="17"/>
      <c r="D12" s="17"/>
      <c r="E12" s="23"/>
      <c r="F12" s="19"/>
      <c r="G12" s="37"/>
      <c r="H12" s="37"/>
      <c r="I12" s="37"/>
      <c r="J12" s="37"/>
      <c r="K12" s="21"/>
    </row>
    <row r="13" spans="2:11" ht="19.7" customHeight="1">
      <c r="B13" s="16"/>
      <c r="C13" s="17"/>
      <c r="D13" s="17"/>
      <c r="E13" s="23"/>
      <c r="F13" s="19"/>
      <c r="G13" s="37"/>
      <c r="H13" s="37"/>
      <c r="I13" s="37"/>
      <c r="J13" s="37"/>
      <c r="K13" s="21"/>
    </row>
    <row r="14" spans="2:11" ht="19.7" customHeight="1">
      <c r="B14" s="16"/>
      <c r="C14" s="17"/>
      <c r="D14" s="17"/>
      <c r="E14" s="23"/>
      <c r="F14" s="19"/>
      <c r="G14" s="37"/>
      <c r="H14" s="37"/>
      <c r="I14" s="37"/>
      <c r="J14" s="37"/>
      <c r="K14" s="21"/>
    </row>
    <row r="15" spans="2:11" ht="19.7" customHeight="1">
      <c r="B15" s="16"/>
      <c r="C15" s="17"/>
      <c r="D15" s="17"/>
      <c r="E15" s="23"/>
      <c r="F15" s="19"/>
      <c r="G15" s="37"/>
      <c r="H15" s="37"/>
      <c r="I15" s="37"/>
      <c r="J15" s="37"/>
      <c r="K15" s="21"/>
    </row>
    <row r="16" spans="2:11" ht="19.7" customHeight="1">
      <c r="B16" s="16"/>
      <c r="C16" s="17"/>
      <c r="D16" s="17"/>
      <c r="E16" s="23"/>
      <c r="F16" s="19"/>
      <c r="G16" s="37"/>
      <c r="H16" s="37"/>
      <c r="I16" s="37"/>
      <c r="J16" s="37"/>
      <c r="K16" s="21"/>
    </row>
    <row r="17" spans="2:11" ht="19.7" customHeight="1">
      <c r="B17" s="16"/>
      <c r="C17" s="17"/>
      <c r="D17" s="17"/>
      <c r="E17" s="23"/>
      <c r="F17" s="19"/>
      <c r="G17" s="37"/>
      <c r="H17" s="37"/>
      <c r="I17" s="37"/>
      <c r="J17" s="37"/>
      <c r="K17" s="21"/>
    </row>
    <row r="18" spans="2:11" ht="19.7" customHeight="1">
      <c r="B18" s="16"/>
      <c r="C18" s="17"/>
      <c r="D18" s="17"/>
      <c r="E18" s="23"/>
      <c r="F18" s="19"/>
      <c r="G18" s="37"/>
      <c r="H18" s="37"/>
      <c r="I18" s="37"/>
      <c r="J18" s="37"/>
      <c r="K18" s="21"/>
    </row>
    <row r="19" spans="2:11" ht="19.7" customHeight="1">
      <c r="B19" s="16"/>
      <c r="C19" s="17"/>
      <c r="D19" s="17"/>
      <c r="E19" s="23"/>
      <c r="F19" s="19"/>
      <c r="G19" s="37"/>
      <c r="H19" s="37"/>
      <c r="I19" s="37"/>
      <c r="J19" s="37"/>
      <c r="K19" s="21"/>
    </row>
    <row r="20" spans="2:11" ht="19.7" customHeight="1">
      <c r="B20" s="16"/>
      <c r="C20" s="17"/>
      <c r="D20" s="17"/>
      <c r="E20" s="23"/>
      <c r="F20" s="19"/>
      <c r="G20" s="37"/>
      <c r="H20" s="37"/>
      <c r="I20" s="37"/>
      <c r="J20" s="37"/>
      <c r="K20" s="21"/>
    </row>
    <row r="21" spans="2:11" ht="19.7" customHeight="1">
      <c r="B21" s="16"/>
      <c r="C21" s="17"/>
      <c r="D21" s="17"/>
      <c r="E21" s="18"/>
      <c r="F21" s="19"/>
      <c r="G21" s="37"/>
      <c r="H21" s="37"/>
      <c r="I21" s="37"/>
      <c r="J21" s="37"/>
      <c r="K21" s="21"/>
    </row>
    <row r="22" spans="2:11" ht="19.7" customHeight="1">
      <c r="B22" s="16"/>
      <c r="C22" s="17"/>
      <c r="D22" s="17"/>
      <c r="E22" s="18"/>
      <c r="F22" s="19"/>
      <c r="G22" s="37"/>
      <c r="H22" s="37"/>
      <c r="I22" s="37"/>
      <c r="J22" s="37"/>
      <c r="K22" s="21"/>
    </row>
    <row r="23" spans="2:11" ht="19.7" customHeight="1">
      <c r="B23" s="16" t="s">
        <v>47</v>
      </c>
      <c r="C23" s="17"/>
      <c r="D23" s="17"/>
      <c r="E23" s="18"/>
      <c r="F23" s="19"/>
      <c r="G23" s="37"/>
      <c r="H23" s="37"/>
      <c r="I23" s="37"/>
      <c r="J23" s="37"/>
      <c r="K23" s="21"/>
    </row>
    <row r="24" spans="2:11" ht="19.7" customHeight="1">
      <c r="B24" s="16" t="s">
        <v>47</v>
      </c>
      <c r="C24" s="17"/>
      <c r="D24" s="17"/>
      <c r="E24" s="18"/>
      <c r="F24" s="19"/>
      <c r="G24" s="37"/>
      <c r="H24" s="37"/>
      <c r="I24" s="37"/>
      <c r="J24" s="37"/>
      <c r="K24" s="21"/>
    </row>
    <row r="25" spans="2:11" ht="19.7" customHeight="1">
      <c r="B25" s="16" t="s">
        <v>47</v>
      </c>
      <c r="C25" s="17"/>
      <c r="D25" s="17"/>
      <c r="E25" s="18"/>
      <c r="F25" s="19"/>
      <c r="G25" s="37"/>
      <c r="H25" s="37"/>
      <c r="I25" s="37"/>
      <c r="J25" s="37"/>
      <c r="K25" s="21"/>
    </row>
    <row r="26" spans="2:11" ht="19.7" customHeight="1">
      <c r="B26" s="16" t="s">
        <v>47</v>
      </c>
      <c r="C26" s="17"/>
      <c r="D26" s="17"/>
      <c r="E26" s="18"/>
      <c r="F26" s="19"/>
      <c r="G26" s="37"/>
      <c r="H26" s="37"/>
      <c r="I26" s="37"/>
      <c r="J26" s="37"/>
      <c r="K26" s="21"/>
    </row>
    <row r="27" spans="2:11" ht="19.7" customHeight="1">
      <c r="B27" s="16" t="s">
        <v>47</v>
      </c>
      <c r="C27" s="17"/>
      <c r="D27" s="17"/>
      <c r="E27" s="18"/>
      <c r="F27" s="19"/>
      <c r="G27" s="37"/>
      <c r="H27" s="37"/>
      <c r="I27" s="37"/>
      <c r="J27" s="37"/>
      <c r="K27" s="21"/>
    </row>
    <row r="28" spans="2:11" ht="19.7" customHeight="1">
      <c r="B28" s="16" t="s">
        <v>47</v>
      </c>
      <c r="C28" s="17"/>
      <c r="D28" s="17"/>
      <c r="E28" s="18"/>
      <c r="F28" s="19"/>
      <c r="G28" s="37"/>
      <c r="H28" s="37"/>
      <c r="I28" s="37"/>
      <c r="J28" s="37"/>
      <c r="K28" s="21"/>
    </row>
    <row r="29" spans="2:11" ht="19.7" customHeight="1">
      <c r="B29" s="24" t="s">
        <v>47</v>
      </c>
      <c r="C29" s="25"/>
      <c r="D29" s="25"/>
      <c r="E29" s="26"/>
      <c r="F29" s="27"/>
      <c r="G29" s="40"/>
      <c r="H29" s="40"/>
      <c r="I29" s="40"/>
      <c r="J29" s="40"/>
      <c r="K29" s="29"/>
    </row>
    <row r="30" spans="2:11" ht="19.7" customHeight="1">
      <c r="B30" s="30"/>
      <c r="C30" s="31" t="s">
        <v>172</v>
      </c>
      <c r="D30" s="32"/>
      <c r="E30" s="32"/>
      <c r="F30" s="32"/>
      <c r="G30" s="45" t="e">
        <f>+G4+G5+G6+G7+G8+G9+G10+G11+G12+G13+G14+G15</f>
        <v>#REF!</v>
      </c>
      <c r="H30" s="45" t="e">
        <f>+H4+H5+H6+H7+H8+H9+H10+H11+H12+H13+H14+H15</f>
        <v>#REF!</v>
      </c>
      <c r="I30" s="45" t="e">
        <f>+I4+I5+I6+I7+I8+I9+I10+I11+I12+I13+I14+I15</f>
        <v>#REF!</v>
      </c>
      <c r="J30" s="45" t="e">
        <f>+J4+J5+J6+J7+J8+J9+J10+J11+J12+J13+J14+J15</f>
        <v>#REF!</v>
      </c>
      <c r="K30" s="33"/>
    </row>
    <row r="31" spans="2:11">
      <c r="B31" s="34"/>
      <c r="C31" s="34"/>
      <c r="D31" s="34"/>
      <c r="E31" s="34"/>
      <c r="F31" s="34"/>
      <c r="G31" s="34"/>
      <c r="H31" s="34"/>
      <c r="I31" s="34"/>
      <c r="J31" s="34"/>
      <c r="K31" s="34"/>
    </row>
    <row r="37" spans="7:10">
      <c r="G37" s="22">
        <v>144354698</v>
      </c>
      <c r="H37" s="22">
        <v>128764670</v>
      </c>
      <c r="I37" s="22">
        <v>2447470</v>
      </c>
      <c r="J37" s="22">
        <f>H37+G37+I37</f>
        <v>275566838</v>
      </c>
    </row>
  </sheetData>
  <mergeCells count="1">
    <mergeCell ref="B1:K1"/>
  </mergeCells>
  <phoneticPr fontId="33" type="noConversion"/>
  <pageMargins left="0.98416668176651001" right="7.8611113131046295E-2" top="0.6691666841506958" bottom="0.59041666984558105" header="0.51138889789581299" footer="0.51138889789581299"/>
  <pageSetup paperSize="9" scale="8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4"/>
  <dimension ref="A1:U30"/>
  <sheetViews>
    <sheetView view="pageBreakPreview" zoomScaleNormal="100" zoomScaleSheetLayoutView="100" workbookViewId="0">
      <selection activeCell="F12" sqref="F12"/>
    </sheetView>
  </sheetViews>
  <sheetFormatPr defaultColWidth="8.875" defaultRowHeight="16.5"/>
  <cols>
    <col min="1" max="2" width="2" style="3" customWidth="1"/>
    <col min="3" max="3" width="25.625" style="137" customWidth="1"/>
    <col min="4" max="4" width="27.25" style="137" customWidth="1"/>
    <col min="5" max="7" width="20" style="137" customWidth="1"/>
    <col min="9" max="9" width="18.375" style="94" customWidth="1"/>
  </cols>
  <sheetData>
    <row r="1" spans="2:21" s="93" customFormat="1" ht="20.100000000000001" customHeight="1">
      <c r="B1" s="95"/>
      <c r="C1" s="126"/>
      <c r="D1" s="127"/>
      <c r="E1" s="127"/>
      <c r="F1" s="126"/>
      <c r="G1" s="126"/>
      <c r="I1" s="96"/>
    </row>
    <row r="2" spans="2:21" s="93" customFormat="1" ht="20.100000000000001" customHeight="1">
      <c r="B2" s="95"/>
      <c r="C2" s="339" t="s">
        <v>260</v>
      </c>
      <c r="D2" s="339"/>
      <c r="E2" s="127"/>
      <c r="F2" s="126"/>
      <c r="G2" s="126"/>
      <c r="I2" s="96"/>
    </row>
    <row r="3" spans="2:21" s="93" customFormat="1" ht="20.100000000000001" customHeight="1" thickBot="1">
      <c r="B3" s="95"/>
      <c r="C3" s="126"/>
      <c r="D3" s="127"/>
      <c r="E3" s="127"/>
      <c r="F3" s="126"/>
      <c r="G3" s="126"/>
      <c r="I3" s="345" t="s">
        <v>158</v>
      </c>
      <c r="J3" s="345"/>
      <c r="K3" s="345"/>
      <c r="L3" s="345"/>
      <c r="M3" s="345"/>
      <c r="N3" s="345"/>
      <c r="O3" s="345"/>
      <c r="P3" s="345"/>
      <c r="Q3" s="345"/>
      <c r="R3" s="345"/>
      <c r="S3" s="345"/>
    </row>
    <row r="4" spans="2:21" s="93" customFormat="1" ht="20.100000000000001" customHeight="1">
      <c r="B4" s="95"/>
      <c r="C4" s="240" t="s">
        <v>94</v>
      </c>
      <c r="D4" s="241" t="s">
        <v>121</v>
      </c>
      <c r="E4" s="242">
        <f>측량비!Q52</f>
        <v>201701000</v>
      </c>
      <c r="F4" s="126"/>
      <c r="G4" s="126"/>
      <c r="I4" s="96"/>
      <c r="S4" s="346" t="s">
        <v>212</v>
      </c>
      <c r="T4" s="346"/>
      <c r="U4" s="105"/>
    </row>
    <row r="5" spans="2:21" s="93" customFormat="1" ht="20.100000000000001" customHeight="1">
      <c r="B5" s="95"/>
      <c r="C5" s="243"/>
      <c r="D5" s="129"/>
      <c r="E5" s="244"/>
      <c r="F5" s="126"/>
      <c r="G5" s="126"/>
      <c r="I5" s="344" t="s">
        <v>75</v>
      </c>
      <c r="J5" s="344" t="s">
        <v>227</v>
      </c>
      <c r="K5" s="344"/>
      <c r="L5" s="344"/>
      <c r="M5" s="344"/>
      <c r="N5" s="344"/>
      <c r="O5" s="344"/>
      <c r="P5" s="344"/>
      <c r="Q5" s="344"/>
      <c r="R5" s="344"/>
      <c r="S5" s="344"/>
      <c r="T5" s="343" t="s">
        <v>225</v>
      </c>
    </row>
    <row r="6" spans="2:21" s="93" customFormat="1" ht="20.100000000000001" customHeight="1">
      <c r="B6" s="95"/>
      <c r="C6" s="243"/>
      <c r="D6" s="129"/>
      <c r="E6" s="244"/>
      <c r="F6" s="126"/>
      <c r="G6" s="126"/>
      <c r="I6" s="344"/>
      <c r="J6" s="344" t="s">
        <v>96</v>
      </c>
      <c r="K6" s="344"/>
      <c r="L6" s="344" t="s">
        <v>228</v>
      </c>
      <c r="M6" s="344"/>
      <c r="N6" s="344" t="s">
        <v>231</v>
      </c>
      <c r="O6" s="344"/>
      <c r="P6" s="344" t="s">
        <v>229</v>
      </c>
      <c r="Q6" s="344"/>
      <c r="R6" s="344" t="s">
        <v>230</v>
      </c>
      <c r="S6" s="344"/>
      <c r="T6" s="343"/>
    </row>
    <row r="7" spans="2:21" s="93" customFormat="1" ht="20.100000000000001" customHeight="1">
      <c r="B7" s="95"/>
      <c r="C7" s="243"/>
      <c r="D7" s="130"/>
      <c r="E7" s="245"/>
      <c r="F7" s="126"/>
      <c r="G7" s="126"/>
      <c r="I7" s="344"/>
      <c r="J7" s="97" t="s">
        <v>92</v>
      </c>
      <c r="K7" s="97" t="s">
        <v>91</v>
      </c>
      <c r="L7" s="97" t="s">
        <v>92</v>
      </c>
      <c r="M7" s="97" t="s">
        <v>91</v>
      </c>
      <c r="N7" s="97" t="s">
        <v>92</v>
      </c>
      <c r="O7" s="97" t="s">
        <v>91</v>
      </c>
      <c r="P7" s="97" t="s">
        <v>92</v>
      </c>
      <c r="Q7" s="97" t="s">
        <v>91</v>
      </c>
      <c r="R7" s="97" t="s">
        <v>92</v>
      </c>
      <c r="S7" s="97" t="s">
        <v>91</v>
      </c>
      <c r="T7" s="343"/>
    </row>
    <row r="8" spans="2:21" s="93" customFormat="1" ht="20.100000000000001" customHeight="1">
      <c r="B8" s="95"/>
      <c r="C8" s="243"/>
      <c r="D8" s="130"/>
      <c r="E8" s="245"/>
      <c r="F8" s="126"/>
      <c r="G8" s="126"/>
      <c r="I8" s="98" t="s">
        <v>79</v>
      </c>
      <c r="J8" s="98"/>
      <c r="K8" s="99"/>
      <c r="L8" s="99"/>
      <c r="M8" s="98"/>
      <c r="N8" s="98"/>
      <c r="O8" s="98"/>
      <c r="P8" s="98"/>
      <c r="Q8" s="98"/>
      <c r="R8" s="98"/>
      <c r="S8" s="98"/>
      <c r="T8" s="98"/>
    </row>
    <row r="9" spans="2:21" s="93" customFormat="1" ht="20.100000000000001" customHeight="1" thickBot="1">
      <c r="B9" s="95"/>
      <c r="C9" s="209"/>
      <c r="D9" s="246" t="s">
        <v>44</v>
      </c>
      <c r="E9" s="247">
        <f>SUM(E4:E8)</f>
        <v>201701000</v>
      </c>
      <c r="F9" s="126"/>
      <c r="G9" s="126"/>
      <c r="I9" s="98" t="s">
        <v>62</v>
      </c>
      <c r="J9" s="98"/>
      <c r="K9" s="99"/>
      <c r="L9" s="98"/>
      <c r="M9" s="98"/>
      <c r="N9" s="98"/>
      <c r="O9" s="98"/>
      <c r="P9" s="98"/>
      <c r="Q9" s="98"/>
      <c r="R9" s="98"/>
      <c r="S9" s="99"/>
      <c r="T9" s="98"/>
    </row>
    <row r="10" spans="2:21" s="93" customFormat="1" ht="20.100000000000001" customHeight="1" thickBot="1">
      <c r="B10" s="95"/>
      <c r="C10" s="126" t="s">
        <v>208</v>
      </c>
      <c r="D10" s="127"/>
      <c r="E10" s="127"/>
      <c r="F10" s="131"/>
      <c r="G10" s="131"/>
      <c r="I10" s="98" t="s">
        <v>73</v>
      </c>
      <c r="J10" s="98"/>
      <c r="K10" s="98"/>
      <c r="L10" s="98"/>
      <c r="M10" s="98"/>
      <c r="N10" s="98"/>
      <c r="O10" s="98"/>
      <c r="P10" s="98"/>
      <c r="Q10" s="98"/>
      <c r="R10" s="98"/>
      <c r="S10" s="98"/>
      <c r="T10" s="98"/>
    </row>
    <row r="11" spans="2:21" s="93" customFormat="1" ht="20.100000000000001" customHeight="1">
      <c r="B11" s="95"/>
      <c r="C11" s="248" t="s">
        <v>76</v>
      </c>
      <c r="D11" s="249" t="s">
        <v>48</v>
      </c>
      <c r="E11" s="249" t="s">
        <v>82</v>
      </c>
      <c r="F11" s="250" t="s">
        <v>92</v>
      </c>
      <c r="G11" s="251" t="s">
        <v>91</v>
      </c>
      <c r="I11" s="98" t="s">
        <v>50</v>
      </c>
      <c r="J11" s="98"/>
      <c r="K11" s="98"/>
      <c r="L11" s="98"/>
      <c r="M11" s="98"/>
      <c r="N11" s="98"/>
      <c r="O11" s="98"/>
      <c r="P11" s="98"/>
      <c r="Q11" s="98"/>
      <c r="R11" s="98"/>
      <c r="S11" s="99"/>
      <c r="T11" s="98"/>
    </row>
    <row r="12" spans="2:21" s="93" customFormat="1" ht="20.100000000000001" customHeight="1" thickBot="1">
      <c r="B12" s="95"/>
      <c r="C12" s="209" t="s">
        <v>96</v>
      </c>
      <c r="D12" s="252">
        <f>E9</f>
        <v>201701000</v>
      </c>
      <c r="E12" s="252">
        <f>D12*(F12)*0.01</f>
        <v>1224325.07</v>
      </c>
      <c r="F12" s="253">
        <f>J23</f>
        <v>0.60699999999999998</v>
      </c>
      <c r="G12" s="254">
        <f>K23</f>
        <v>9.7000000000000003E-2</v>
      </c>
      <c r="I12" s="98" t="s">
        <v>84</v>
      </c>
      <c r="J12" s="98"/>
      <c r="K12" s="98"/>
      <c r="L12" s="98"/>
      <c r="M12" s="98"/>
      <c r="N12" s="98"/>
      <c r="O12" s="98"/>
      <c r="P12" s="98"/>
      <c r="Q12" s="98"/>
      <c r="R12" s="98"/>
      <c r="S12" s="99"/>
      <c r="T12" s="98"/>
    </row>
    <row r="13" spans="2:21" s="93" customFormat="1" ht="20.100000000000001" customHeight="1">
      <c r="B13" s="95"/>
      <c r="C13" s="135" t="s">
        <v>228</v>
      </c>
      <c r="D13" s="255"/>
      <c r="E13" s="255">
        <f>D13*(F13)*0.01</f>
        <v>0</v>
      </c>
      <c r="F13" s="256">
        <f>L23</f>
        <v>0.59</v>
      </c>
      <c r="G13" s="256">
        <f>M23</f>
        <v>9.4E-2</v>
      </c>
      <c r="I13" s="98" t="s">
        <v>65</v>
      </c>
      <c r="J13" s="98"/>
      <c r="K13" s="98"/>
      <c r="L13" s="98"/>
      <c r="M13" s="98"/>
      <c r="N13" s="98"/>
      <c r="O13" s="98"/>
      <c r="P13" s="98"/>
      <c r="Q13" s="98"/>
      <c r="R13" s="99"/>
      <c r="S13" s="98"/>
      <c r="T13" s="98"/>
    </row>
    <row r="14" spans="2:21" s="93" customFormat="1" ht="20.100000000000001" customHeight="1">
      <c r="B14" s="95"/>
      <c r="C14" s="128" t="s">
        <v>231</v>
      </c>
      <c r="D14" s="132"/>
      <c r="E14" s="132">
        <f>D14*(F14)*0.01</f>
        <v>0</v>
      </c>
      <c r="F14" s="133">
        <f>N23</f>
        <v>0.57199999999999995</v>
      </c>
      <c r="G14" s="133">
        <f>O23</f>
        <v>9.2999999999999999E-2</v>
      </c>
      <c r="I14" s="98" t="s">
        <v>88</v>
      </c>
      <c r="J14" s="98"/>
      <c r="K14" s="98"/>
      <c r="L14" s="98"/>
      <c r="M14" s="98"/>
      <c r="N14" s="98"/>
      <c r="O14" s="98"/>
      <c r="P14" s="98"/>
      <c r="Q14" s="98"/>
      <c r="R14" s="99"/>
      <c r="S14" s="98"/>
      <c r="T14" s="98"/>
    </row>
    <row r="15" spans="2:21" s="93" customFormat="1" ht="20.100000000000001" customHeight="1">
      <c r="B15" s="95"/>
      <c r="C15" s="128" t="s">
        <v>229</v>
      </c>
      <c r="D15" s="132"/>
      <c r="E15" s="132">
        <f>D15*(F15)*0.01</f>
        <v>0</v>
      </c>
      <c r="F15" s="133">
        <f>P23</f>
        <v>0.55400000000000005</v>
      </c>
      <c r="G15" s="133">
        <f>Q23</f>
        <v>8.7999999999999995E-2</v>
      </c>
      <c r="I15" s="98" t="s">
        <v>59</v>
      </c>
      <c r="J15" s="98"/>
      <c r="K15" s="98"/>
      <c r="L15" s="98"/>
      <c r="M15" s="98"/>
      <c r="N15" s="98"/>
      <c r="O15" s="98"/>
      <c r="P15" s="98"/>
      <c r="Q15" s="98"/>
      <c r="R15" s="98"/>
      <c r="S15" s="98"/>
      <c r="T15" s="98"/>
    </row>
    <row r="16" spans="2:21" s="93" customFormat="1" ht="20.100000000000001" customHeight="1" thickBot="1">
      <c r="B16" s="95"/>
      <c r="C16" s="142" t="s">
        <v>230</v>
      </c>
      <c r="D16" s="134"/>
      <c r="E16" s="134">
        <f>D16*(F16)*0.01</f>
        <v>0</v>
      </c>
      <c r="F16" s="133">
        <f>R23</f>
        <v>0.53600000000000003</v>
      </c>
      <c r="G16" s="133">
        <f>S23</f>
        <v>8.5000000000000006E-2</v>
      </c>
      <c r="I16" s="98" t="s">
        <v>67</v>
      </c>
      <c r="J16" s="98"/>
      <c r="K16" s="98"/>
      <c r="L16" s="98"/>
      <c r="M16" s="98"/>
      <c r="N16" s="98"/>
      <c r="O16" s="98"/>
      <c r="P16" s="98"/>
      <c r="Q16" s="98"/>
      <c r="R16" s="98"/>
      <c r="S16" s="98"/>
      <c r="T16" s="98"/>
    </row>
    <row r="17" spans="2:20" s="93" customFormat="1" ht="20.100000000000001" customHeight="1" thickBot="1">
      <c r="B17" s="95"/>
      <c r="C17" s="259" t="s">
        <v>44</v>
      </c>
      <c r="D17" s="261"/>
      <c r="E17" s="260">
        <f>E12+E13+E14+E15+E16</f>
        <v>1224325.07</v>
      </c>
      <c r="F17" s="137"/>
      <c r="G17" s="137"/>
      <c r="I17" s="98" t="s">
        <v>63</v>
      </c>
      <c r="J17" s="98"/>
      <c r="K17" s="98"/>
      <c r="L17" s="98"/>
      <c r="M17" s="98"/>
      <c r="N17" s="98"/>
      <c r="O17" s="98"/>
      <c r="P17" s="98"/>
      <c r="Q17" s="98"/>
      <c r="R17" s="98"/>
      <c r="S17" s="98"/>
      <c r="T17" s="98"/>
    </row>
    <row r="18" spans="2:20" s="93" customFormat="1" ht="20.100000000000001" customHeight="1" thickBot="1">
      <c r="B18" s="95"/>
      <c r="C18" s="138" t="s">
        <v>206</v>
      </c>
      <c r="D18" s="139"/>
      <c r="E18" s="140"/>
      <c r="F18" s="138"/>
      <c r="G18" s="138"/>
      <c r="I18" s="98" t="s">
        <v>110</v>
      </c>
      <c r="J18" s="98"/>
      <c r="K18" s="98"/>
      <c r="L18" s="98"/>
      <c r="M18" s="98"/>
      <c r="N18" s="99"/>
      <c r="O18" s="99"/>
      <c r="P18" s="99"/>
      <c r="Q18" s="98"/>
      <c r="R18" s="98"/>
      <c r="S18" s="98"/>
      <c r="T18" s="98"/>
    </row>
    <row r="19" spans="2:20" s="93" customFormat="1" ht="20.100000000000001" customHeight="1">
      <c r="B19" s="95"/>
      <c r="C19" s="128" t="s">
        <v>209</v>
      </c>
      <c r="D19" s="141"/>
      <c r="E19" s="136">
        <f>E9*0.16*0.01</f>
        <v>322721.60000000003</v>
      </c>
      <c r="F19" s="138"/>
      <c r="G19" s="138"/>
      <c r="I19" s="98" t="s">
        <v>89</v>
      </c>
      <c r="J19" s="98"/>
      <c r="K19" s="98"/>
      <c r="L19" s="98"/>
      <c r="M19" s="98"/>
      <c r="N19" s="98"/>
      <c r="O19" s="98"/>
      <c r="P19" s="98"/>
      <c r="Q19" s="98"/>
      <c r="R19" s="98"/>
      <c r="S19" s="98"/>
      <c r="T19" s="98"/>
    </row>
    <row r="20" spans="2:20" s="93" customFormat="1" ht="20.100000000000001" customHeight="1" thickBot="1">
      <c r="B20" s="95"/>
      <c r="C20" s="138" t="s">
        <v>101</v>
      </c>
      <c r="D20" s="139"/>
      <c r="E20" s="140"/>
      <c r="F20" s="138"/>
      <c r="G20" s="138"/>
      <c r="I20" s="98" t="s">
        <v>102</v>
      </c>
      <c r="J20" s="98"/>
      <c r="K20" s="98"/>
      <c r="L20" s="99"/>
      <c r="M20" s="98"/>
      <c r="N20" s="98"/>
      <c r="O20" s="98"/>
      <c r="P20" s="98"/>
      <c r="Q20" s="98"/>
      <c r="R20" s="98"/>
      <c r="S20" s="98"/>
      <c r="T20" s="98"/>
    </row>
    <row r="21" spans="2:20" s="93" customFormat="1" ht="20.100000000000001" customHeight="1" thickBot="1">
      <c r="B21" s="95"/>
      <c r="C21" s="257" t="s">
        <v>83</v>
      </c>
      <c r="D21" s="258"/>
      <c r="E21" s="262">
        <f>ROUNDDOWN((E17+E19),-3)</f>
        <v>1547000</v>
      </c>
      <c r="F21" s="340" t="s">
        <v>118</v>
      </c>
      <c r="G21" s="341"/>
      <c r="I21" s="98" t="s">
        <v>99</v>
      </c>
      <c r="J21" s="98"/>
      <c r="K21" s="98"/>
      <c r="L21" s="99"/>
      <c r="M21" s="98"/>
      <c r="N21" s="98"/>
      <c r="O21" s="98"/>
      <c r="P21" s="98"/>
      <c r="Q21" s="98"/>
      <c r="R21" s="98"/>
      <c r="S21" s="98"/>
      <c r="T21" s="98"/>
    </row>
    <row r="22" spans="2:20" s="93" customFormat="1" ht="20.100000000000001" customHeight="1">
      <c r="B22" s="95"/>
      <c r="C22" s="138"/>
      <c r="D22" s="139"/>
      <c r="E22" s="140"/>
      <c r="F22" s="138"/>
      <c r="G22" s="138"/>
      <c r="I22" s="98" t="s">
        <v>211</v>
      </c>
      <c r="J22" s="98"/>
      <c r="K22" s="98"/>
      <c r="L22" s="98"/>
      <c r="M22" s="99"/>
      <c r="N22" s="98"/>
      <c r="O22" s="98"/>
      <c r="P22" s="98"/>
      <c r="Q22" s="98"/>
      <c r="R22" s="98"/>
      <c r="S22" s="98"/>
      <c r="T22" s="98"/>
    </row>
    <row r="23" spans="2:20" s="93" customFormat="1" ht="20.100000000000001" customHeight="1" thickBot="1">
      <c r="B23" s="95"/>
      <c r="C23" s="142" t="s">
        <v>223</v>
      </c>
      <c r="D23" s="139"/>
      <c r="E23" s="140"/>
      <c r="F23" s="138"/>
      <c r="G23" s="138"/>
      <c r="I23" s="103" t="s">
        <v>69</v>
      </c>
      <c r="J23" s="103">
        <v>0.60699999999999998</v>
      </c>
      <c r="K23" s="103">
        <v>9.7000000000000003E-2</v>
      </c>
      <c r="L23" s="104">
        <v>0.59</v>
      </c>
      <c r="M23" s="103">
        <v>9.4E-2</v>
      </c>
      <c r="N23" s="103">
        <v>0.57199999999999995</v>
      </c>
      <c r="O23" s="103">
        <v>9.2999999999999999E-2</v>
      </c>
      <c r="P23" s="103">
        <v>0.55400000000000005</v>
      </c>
      <c r="Q23" s="103">
        <v>8.7999999999999995E-2</v>
      </c>
      <c r="R23" s="103">
        <v>0.53600000000000003</v>
      </c>
      <c r="S23" s="103">
        <v>8.5000000000000006E-2</v>
      </c>
      <c r="T23" s="103">
        <v>2</v>
      </c>
    </row>
    <row r="24" spans="2:20" s="93" customFormat="1" ht="20.100000000000001" customHeight="1" thickBot="1">
      <c r="B24" s="95"/>
      <c r="C24" s="143" t="s">
        <v>255</v>
      </c>
      <c r="D24" s="144" t="s">
        <v>210</v>
      </c>
      <c r="E24" s="145" t="str">
        <f>C24</f>
        <v>5개월</v>
      </c>
      <c r="F24" s="146" t="s">
        <v>46</v>
      </c>
      <c r="G24" s="138"/>
      <c r="I24" s="98" t="s">
        <v>100</v>
      </c>
      <c r="J24" s="98"/>
      <c r="K24" s="98"/>
      <c r="L24" s="98"/>
      <c r="M24" s="98"/>
      <c r="N24" s="98"/>
      <c r="O24" s="98"/>
      <c r="P24" s="98"/>
      <c r="Q24" s="98"/>
      <c r="R24" s="98"/>
      <c r="S24" s="98"/>
      <c r="T24" s="98"/>
    </row>
    <row r="25" spans="2:20" s="93" customFormat="1" ht="20.100000000000001" customHeight="1">
      <c r="B25" s="95"/>
      <c r="C25" s="126"/>
      <c r="D25" s="127"/>
      <c r="E25" s="127"/>
      <c r="F25" s="126"/>
      <c r="G25" s="126"/>
      <c r="I25" s="98" t="s">
        <v>97</v>
      </c>
      <c r="J25" s="98"/>
      <c r="K25" s="98"/>
      <c r="L25" s="98"/>
      <c r="M25" s="98"/>
      <c r="N25" s="98"/>
      <c r="O25" s="98"/>
      <c r="P25" s="98"/>
      <c r="Q25" s="98"/>
      <c r="R25" s="98"/>
      <c r="S25" s="98"/>
      <c r="T25" s="98"/>
    </row>
    <row r="26" spans="2:20" s="93" customFormat="1" ht="20.100000000000001" customHeight="1">
      <c r="B26" s="95"/>
      <c r="C26" s="126">
        <f>F10</f>
        <v>0</v>
      </c>
      <c r="D26" s="127"/>
      <c r="E26" s="127"/>
      <c r="F26" s="126"/>
      <c r="G26" s="126"/>
      <c r="I26" s="98" t="s">
        <v>125</v>
      </c>
      <c r="J26" s="100"/>
      <c r="K26" s="100"/>
      <c r="L26" s="100"/>
      <c r="M26" s="100"/>
      <c r="N26" s="100"/>
      <c r="O26" s="100"/>
      <c r="P26" s="100"/>
      <c r="Q26" s="100"/>
      <c r="R26" s="100"/>
      <c r="S26" s="100"/>
      <c r="T26" s="101"/>
    </row>
    <row r="27" spans="2:20" s="93" customFormat="1" ht="20.100000000000001" customHeight="1">
      <c r="B27" s="95"/>
      <c r="C27" s="128" t="s">
        <v>86</v>
      </c>
      <c r="D27" s="132" t="s">
        <v>81</v>
      </c>
      <c r="E27" s="132" t="s">
        <v>85</v>
      </c>
      <c r="F27" s="126"/>
      <c r="G27" s="126"/>
      <c r="I27" s="98" t="s">
        <v>72</v>
      </c>
      <c r="J27" s="98"/>
      <c r="K27" s="98"/>
      <c r="L27" s="98"/>
      <c r="M27" s="98"/>
      <c r="N27" s="98"/>
      <c r="O27" s="98"/>
      <c r="P27" s="98"/>
      <c r="Q27" s="99"/>
      <c r="R27" s="98"/>
      <c r="S27" s="99"/>
      <c r="T27" s="98"/>
    </row>
    <row r="28" spans="2:20" s="93" customFormat="1" ht="20.100000000000001" customHeight="1">
      <c r="B28" s="95"/>
      <c r="C28" s="128" t="s">
        <v>77</v>
      </c>
      <c r="D28" s="132" t="s">
        <v>52</v>
      </c>
      <c r="E28" s="132">
        <v>0</v>
      </c>
      <c r="F28" s="126"/>
      <c r="G28" s="126"/>
      <c r="I28" s="98" t="s">
        <v>74</v>
      </c>
      <c r="J28" s="98"/>
      <c r="K28" s="98"/>
      <c r="L28" s="98"/>
      <c r="M28" s="98"/>
      <c r="N28" s="98"/>
      <c r="O28" s="98"/>
      <c r="P28" s="98"/>
      <c r="Q28" s="99"/>
      <c r="R28" s="98"/>
      <c r="S28" s="99"/>
      <c r="T28" s="98"/>
    </row>
    <row r="29" spans="2:20" s="93" customFormat="1" ht="20.100000000000001" customHeight="1">
      <c r="B29" s="95"/>
      <c r="C29" s="126"/>
      <c r="D29" s="127"/>
      <c r="E29" s="127"/>
      <c r="F29" s="126"/>
      <c r="G29" s="126"/>
      <c r="I29" s="98" t="s">
        <v>128</v>
      </c>
      <c r="J29" s="98"/>
      <c r="K29" s="98"/>
      <c r="L29" s="98"/>
      <c r="M29" s="98"/>
      <c r="N29" s="98"/>
      <c r="O29" s="98"/>
      <c r="P29" s="98"/>
      <c r="Q29" s="98"/>
      <c r="R29" s="98"/>
      <c r="S29" s="99"/>
      <c r="T29" s="98"/>
    </row>
    <row r="30" spans="2:20" s="93" customFormat="1" ht="20.100000000000001" customHeight="1">
      <c r="B30" s="95"/>
      <c r="C30" s="342" t="s">
        <v>15</v>
      </c>
      <c r="D30" s="342"/>
      <c r="E30" s="342"/>
      <c r="F30" s="342"/>
      <c r="G30" s="342"/>
      <c r="I30" s="102"/>
      <c r="J30" s="102"/>
      <c r="K30" s="102"/>
      <c r="L30" s="102"/>
      <c r="M30" s="102"/>
      <c r="N30" s="102"/>
      <c r="O30" s="102"/>
      <c r="P30" s="102"/>
      <c r="Q30" s="102"/>
      <c r="R30" s="102"/>
      <c r="S30" s="102"/>
      <c r="T30" s="102"/>
    </row>
  </sheetData>
  <mergeCells count="13">
    <mergeCell ref="C2:D2"/>
    <mergeCell ref="F21:G21"/>
    <mergeCell ref="C30:G30"/>
    <mergeCell ref="T5:T7"/>
    <mergeCell ref="I5:I7"/>
    <mergeCell ref="J5:S5"/>
    <mergeCell ref="J6:K6"/>
    <mergeCell ref="L6:M6"/>
    <mergeCell ref="N6:O6"/>
    <mergeCell ref="P6:Q6"/>
    <mergeCell ref="R6:S6"/>
    <mergeCell ref="I3:S3"/>
    <mergeCell ref="S4:T4"/>
  </mergeCells>
  <phoneticPr fontId="33" type="noConversion"/>
  <pageMargins left="0.69972223043441772" right="0.69972223043441772" top="0.75" bottom="0.75" header="0.30000001192092896" footer="0.30000001192092896"/>
  <pageSetup paperSize="9" scale="65" orientation="portrait" r:id="rId1"/>
  <colBreaks count="1" manualBreakCount="1">
    <brk id="7" max="16383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2"/>
  <dimension ref="A2:AH47"/>
  <sheetViews>
    <sheetView view="pageBreakPreview" zoomScaleNormal="100" zoomScaleSheetLayoutView="100" workbookViewId="0">
      <selection activeCell="B9" sqref="B9:O9"/>
    </sheetView>
  </sheetViews>
  <sheetFormatPr defaultColWidth="10" defaultRowHeight="16.5"/>
  <cols>
    <col min="1" max="1" width="18.25" style="219" customWidth="1"/>
    <col min="2" max="2" width="16" style="219" customWidth="1"/>
    <col min="3" max="3" width="7.875" style="219" customWidth="1"/>
    <col min="4" max="9" width="2.625" style="219" customWidth="1"/>
    <col min="10" max="10" width="4.75" style="219" bestFit="1" customWidth="1"/>
    <col min="11" max="12" width="2.625" style="219" customWidth="1"/>
    <col min="13" max="13" width="4.75" style="219" bestFit="1" customWidth="1"/>
    <col min="14" max="14" width="2.625" style="219" customWidth="1"/>
    <col min="15" max="15" width="2.75" style="219" customWidth="1"/>
    <col min="16" max="18" width="2.625" style="219" customWidth="1"/>
    <col min="19" max="19" width="3.375" style="219" customWidth="1"/>
    <col min="20" max="20" width="2.875" style="219" customWidth="1"/>
    <col min="21" max="23" width="2.625" style="219" customWidth="1"/>
    <col min="24" max="24" width="24.375" style="219" customWidth="1"/>
    <col min="25" max="25" width="5.5" style="46" customWidth="1"/>
    <col min="26" max="26" width="17.125" style="106" customWidth="1"/>
    <col min="27" max="27" width="13.875" style="106" customWidth="1"/>
    <col min="28" max="29" width="14.375" style="106" customWidth="1"/>
    <col min="30" max="31" width="14.375" style="107" customWidth="1"/>
    <col min="32" max="32" width="20.875" style="107" bestFit="1" customWidth="1"/>
    <col min="33" max="34" width="14.375" style="107" customWidth="1"/>
    <col min="35" max="16384" width="10" style="46"/>
  </cols>
  <sheetData>
    <row r="2" spans="1:34" ht="21.75" customHeight="1">
      <c r="A2" s="351" t="s">
        <v>259</v>
      </c>
      <c r="B2" s="351"/>
      <c r="C2" s="351"/>
      <c r="D2" s="351"/>
      <c r="E2" s="351"/>
      <c r="F2" s="351"/>
      <c r="G2" s="351"/>
      <c r="H2" s="351"/>
      <c r="I2" s="351"/>
      <c r="J2" s="351"/>
      <c r="K2" s="351"/>
      <c r="L2" s="351"/>
      <c r="M2" s="351"/>
      <c r="N2" s="351"/>
      <c r="O2" s="351"/>
      <c r="P2" s="351"/>
      <c r="Q2" s="351"/>
      <c r="R2" s="351"/>
      <c r="S2" s="351"/>
      <c r="T2" s="351"/>
      <c r="U2" s="351"/>
      <c r="V2" s="351"/>
      <c r="W2" s="351"/>
      <c r="X2" s="351"/>
    </row>
    <row r="3" spans="1:34" ht="34.5" hidden="1" customHeight="1">
      <c r="A3" s="351"/>
      <c r="B3" s="351"/>
      <c r="C3" s="351"/>
      <c r="D3" s="351"/>
      <c r="E3" s="351"/>
      <c r="F3" s="351"/>
      <c r="G3" s="351"/>
      <c r="H3" s="351"/>
      <c r="I3" s="351"/>
      <c r="J3" s="351"/>
      <c r="K3" s="351"/>
      <c r="L3" s="351"/>
      <c r="M3" s="351"/>
      <c r="N3" s="351"/>
      <c r="O3" s="351"/>
      <c r="P3" s="351"/>
      <c r="Q3" s="351"/>
      <c r="R3" s="351"/>
      <c r="S3" s="351"/>
      <c r="T3" s="351"/>
      <c r="U3" s="351"/>
      <c r="V3" s="351"/>
      <c r="W3" s="351"/>
      <c r="X3" s="351"/>
    </row>
    <row r="4" spans="1:34" ht="24.95" customHeight="1" thickBot="1">
      <c r="A4" s="218" t="s">
        <v>159</v>
      </c>
    </row>
    <row r="5" spans="1:34" ht="33.75" customHeight="1" thickBot="1">
      <c r="A5" s="264" t="s">
        <v>20</v>
      </c>
      <c r="B5" s="265" t="s">
        <v>262</v>
      </c>
      <c r="C5" s="266" t="s">
        <v>263</v>
      </c>
      <c r="D5" s="355" t="s">
        <v>154</v>
      </c>
      <c r="E5" s="355"/>
      <c r="F5" s="355"/>
      <c r="G5" s="355"/>
      <c r="H5" s="355"/>
      <c r="I5" s="355"/>
      <c r="J5" s="355"/>
      <c r="K5" s="355"/>
      <c r="L5" s="355"/>
      <c r="M5" s="355"/>
      <c r="N5" s="355"/>
      <c r="O5" s="355"/>
      <c r="P5" s="355"/>
      <c r="Q5" s="355"/>
      <c r="R5" s="355"/>
      <c r="S5" s="355"/>
      <c r="T5" s="355"/>
      <c r="U5" s="355"/>
      <c r="V5" s="355"/>
      <c r="W5" s="355"/>
      <c r="X5" s="267" t="s">
        <v>70</v>
      </c>
      <c r="Z5" s="115" t="s">
        <v>9</v>
      </c>
      <c r="AA5" s="108"/>
      <c r="AB5" s="108"/>
      <c r="AC5" s="108"/>
    </row>
    <row r="6" spans="1:34" ht="45" customHeight="1">
      <c r="A6" s="352" t="s">
        <v>265</v>
      </c>
      <c r="B6" s="353"/>
      <c r="C6" s="353"/>
      <c r="D6" s="353"/>
      <c r="E6" s="353"/>
      <c r="F6" s="353"/>
      <c r="G6" s="353"/>
      <c r="H6" s="353"/>
      <c r="I6" s="353"/>
      <c r="J6" s="353"/>
      <c r="K6" s="353"/>
      <c r="L6" s="353"/>
      <c r="M6" s="353"/>
      <c r="N6" s="353"/>
      <c r="O6" s="353"/>
      <c r="P6" s="353"/>
      <c r="Q6" s="353"/>
      <c r="R6" s="353"/>
      <c r="S6" s="353"/>
      <c r="T6" s="353"/>
      <c r="U6" s="353"/>
      <c r="V6" s="353"/>
      <c r="W6" s="354"/>
      <c r="X6" s="268" t="s">
        <v>264</v>
      </c>
      <c r="Z6" s="116" t="s">
        <v>56</v>
      </c>
      <c r="AA6" s="116" t="s">
        <v>188</v>
      </c>
      <c r="AB6" s="362" t="s">
        <v>51</v>
      </c>
      <c r="AC6" s="362"/>
      <c r="AD6" s="108"/>
      <c r="AE6" s="108"/>
      <c r="AF6" s="108"/>
      <c r="AG6" s="108"/>
      <c r="AH6" s="108"/>
    </row>
    <row r="7" spans="1:34" ht="45" customHeight="1">
      <c r="A7" s="229" t="s">
        <v>132</v>
      </c>
      <c r="B7" s="221">
        <f>ROUNDUP(($D7*2)*$J7*$M7*$T7%,-1)</f>
        <v>16635130</v>
      </c>
      <c r="C7" s="220"/>
      <c r="D7" s="358">
        <f>AA7*1</f>
        <v>3327026</v>
      </c>
      <c r="E7" s="358"/>
      <c r="F7" s="358"/>
      <c r="G7" s="358"/>
      <c r="H7" s="358"/>
      <c r="I7" s="222" t="s">
        <v>32</v>
      </c>
      <c r="J7" s="223">
        <v>1</v>
      </c>
      <c r="K7" s="222" t="s">
        <v>41</v>
      </c>
      <c r="L7" s="222" t="s">
        <v>32</v>
      </c>
      <c r="M7" s="224">
        <v>5</v>
      </c>
      <c r="N7" s="359" t="s">
        <v>78</v>
      </c>
      <c r="O7" s="359"/>
      <c r="P7" s="222" t="s">
        <v>32</v>
      </c>
      <c r="Q7" s="359" t="s">
        <v>68</v>
      </c>
      <c r="R7" s="359"/>
      <c r="S7" s="359"/>
      <c r="T7" s="360" t="s">
        <v>45</v>
      </c>
      <c r="U7" s="360"/>
      <c r="V7" s="222"/>
      <c r="W7" s="220"/>
      <c r="X7" s="228" t="s">
        <v>226</v>
      </c>
      <c r="Z7" s="117" t="s">
        <v>132</v>
      </c>
      <c r="AA7" s="118">
        <v>3327026</v>
      </c>
      <c r="AB7" s="363" t="s">
        <v>12</v>
      </c>
      <c r="AC7" s="363"/>
      <c r="AD7" s="108"/>
      <c r="AE7" s="108"/>
      <c r="AF7" s="108"/>
      <c r="AG7" s="108"/>
      <c r="AH7" s="108"/>
    </row>
    <row r="8" spans="1:34" ht="45" customHeight="1">
      <c r="A8" s="230" t="s">
        <v>21</v>
      </c>
      <c r="B8" s="221">
        <f>ROUNDUP(($D8*2)*$J8*$M8*$T8%,-1)</f>
        <v>51022380</v>
      </c>
      <c r="C8" s="220"/>
      <c r="D8" s="358">
        <f t="shared" ref="D8:D9" si="0">AA8*1</f>
        <v>2551119</v>
      </c>
      <c r="E8" s="358"/>
      <c r="F8" s="358"/>
      <c r="G8" s="358"/>
      <c r="H8" s="358"/>
      <c r="I8" s="222" t="s">
        <v>32</v>
      </c>
      <c r="J8" s="225">
        <v>4</v>
      </c>
      <c r="K8" s="222" t="s">
        <v>41</v>
      </c>
      <c r="L8" s="222" t="s">
        <v>32</v>
      </c>
      <c r="M8" s="224">
        <v>5</v>
      </c>
      <c r="N8" s="359" t="s">
        <v>78</v>
      </c>
      <c r="O8" s="359"/>
      <c r="P8" s="222" t="s">
        <v>32</v>
      </c>
      <c r="Q8" s="359" t="s">
        <v>68</v>
      </c>
      <c r="R8" s="359"/>
      <c r="S8" s="359"/>
      <c r="T8" s="360" t="s">
        <v>45</v>
      </c>
      <c r="U8" s="360"/>
      <c r="V8" s="222"/>
      <c r="W8" s="220"/>
      <c r="X8" s="228" t="s">
        <v>226</v>
      </c>
      <c r="Z8" s="117" t="s">
        <v>21</v>
      </c>
      <c r="AA8" s="118">
        <v>2551119</v>
      </c>
      <c r="AB8" s="363"/>
      <c r="AC8" s="363"/>
      <c r="AD8" s="108"/>
      <c r="AE8" s="108"/>
      <c r="AF8" s="108"/>
      <c r="AG8" s="108"/>
      <c r="AH8" s="108"/>
    </row>
    <row r="9" spans="1:34" ht="45" customHeight="1">
      <c r="A9" s="231" t="s">
        <v>113</v>
      </c>
      <c r="B9" s="221">
        <f>ROUNDUP(($D9*2)*$J9*$M9*$T9%,-1)</f>
        <v>8526690</v>
      </c>
      <c r="C9" s="220"/>
      <c r="D9" s="358">
        <f t="shared" si="0"/>
        <v>1705337</v>
      </c>
      <c r="E9" s="358"/>
      <c r="F9" s="358"/>
      <c r="G9" s="358"/>
      <c r="H9" s="358"/>
      <c r="I9" s="222" t="s">
        <v>32</v>
      </c>
      <c r="J9" s="223">
        <v>1</v>
      </c>
      <c r="K9" s="222" t="s">
        <v>41</v>
      </c>
      <c r="L9" s="222" t="s">
        <v>32</v>
      </c>
      <c r="M9" s="224">
        <v>5</v>
      </c>
      <c r="N9" s="359" t="s">
        <v>78</v>
      </c>
      <c r="O9" s="359"/>
      <c r="P9" s="222" t="s">
        <v>32</v>
      </c>
      <c r="Q9" s="359" t="s">
        <v>68</v>
      </c>
      <c r="R9" s="359"/>
      <c r="S9" s="359"/>
      <c r="T9" s="360" t="s">
        <v>45</v>
      </c>
      <c r="U9" s="360"/>
      <c r="V9" s="222"/>
      <c r="W9" s="220"/>
      <c r="X9" s="228" t="s">
        <v>226</v>
      </c>
      <c r="Z9" s="117" t="s">
        <v>113</v>
      </c>
      <c r="AA9" s="118">
        <v>1705337</v>
      </c>
      <c r="AB9" s="363"/>
      <c r="AC9" s="363"/>
      <c r="AD9" s="108"/>
      <c r="AE9" s="108"/>
      <c r="AF9" s="108"/>
      <c r="AG9" s="108"/>
      <c r="AH9" s="108"/>
    </row>
    <row r="10" spans="1:34" ht="45" customHeight="1">
      <c r="A10" s="232" t="s">
        <v>61</v>
      </c>
      <c r="B10" s="221">
        <f>($D10*2)*$J10*$M10*$T10%</f>
        <v>0</v>
      </c>
      <c r="C10" s="220"/>
      <c r="D10" s="358">
        <f>AA10</f>
        <v>1279046</v>
      </c>
      <c r="E10" s="358"/>
      <c r="F10" s="358"/>
      <c r="G10" s="358"/>
      <c r="H10" s="358"/>
      <c r="I10" s="222" t="s">
        <v>32</v>
      </c>
      <c r="J10" s="223">
        <v>0</v>
      </c>
      <c r="K10" s="222" t="s">
        <v>41</v>
      </c>
      <c r="L10" s="222" t="s">
        <v>32</v>
      </c>
      <c r="M10" s="224">
        <v>5</v>
      </c>
      <c r="N10" s="359" t="s">
        <v>78</v>
      </c>
      <c r="O10" s="359"/>
      <c r="P10" s="222" t="s">
        <v>32</v>
      </c>
      <c r="Q10" s="359" t="s">
        <v>68</v>
      </c>
      <c r="R10" s="359"/>
      <c r="S10" s="359"/>
      <c r="T10" s="360" t="s">
        <v>45</v>
      </c>
      <c r="U10" s="360"/>
      <c r="V10" s="222"/>
      <c r="W10" s="220"/>
      <c r="X10" s="228" t="s">
        <v>226</v>
      </c>
      <c r="Z10" s="117" t="s">
        <v>61</v>
      </c>
      <c r="AA10" s="118">
        <v>1279046</v>
      </c>
      <c r="AB10" s="363"/>
      <c r="AC10" s="363"/>
      <c r="AD10" s="108"/>
      <c r="AE10" s="108"/>
      <c r="AF10" s="108"/>
      <c r="AG10" s="108"/>
      <c r="AH10" s="108"/>
    </row>
    <row r="11" spans="1:34" ht="45" customHeight="1" thickBot="1">
      <c r="A11" s="236" t="s">
        <v>157</v>
      </c>
      <c r="B11" s="237">
        <f>SUM(B7:B10)</f>
        <v>76184200</v>
      </c>
      <c r="C11" s="238"/>
      <c r="D11" s="366"/>
      <c r="E11" s="366"/>
      <c r="F11" s="366"/>
      <c r="G11" s="366"/>
      <c r="H11" s="366"/>
      <c r="I11" s="366"/>
      <c r="J11" s="366"/>
      <c r="K11" s="366"/>
      <c r="L11" s="366"/>
      <c r="M11" s="366"/>
      <c r="N11" s="366"/>
      <c r="O11" s="366"/>
      <c r="P11" s="366"/>
      <c r="Q11" s="366"/>
      <c r="R11" s="366"/>
      <c r="S11" s="366"/>
      <c r="T11" s="366"/>
      <c r="U11" s="366"/>
      <c r="V11" s="366"/>
      <c r="W11" s="366"/>
      <c r="X11" s="239"/>
      <c r="Z11" s="119" t="s">
        <v>16</v>
      </c>
      <c r="AA11" s="109"/>
      <c r="AB11" s="109"/>
      <c r="AC11" s="109"/>
      <c r="AD11" s="109"/>
      <c r="AE11" s="109"/>
      <c r="AF11" s="109"/>
      <c r="AG11" s="109"/>
      <c r="AH11" s="109"/>
    </row>
    <row r="12" spans="1:34" ht="45" customHeight="1">
      <c r="A12" s="352" t="s">
        <v>266</v>
      </c>
      <c r="B12" s="353"/>
      <c r="C12" s="353"/>
      <c r="D12" s="353"/>
      <c r="E12" s="353"/>
      <c r="F12" s="353"/>
      <c r="G12" s="353"/>
      <c r="H12" s="353"/>
      <c r="I12" s="353"/>
      <c r="J12" s="353"/>
      <c r="K12" s="353"/>
      <c r="L12" s="353"/>
      <c r="M12" s="353"/>
      <c r="N12" s="353"/>
      <c r="O12" s="353"/>
      <c r="P12" s="353"/>
      <c r="Q12" s="353"/>
      <c r="R12" s="353"/>
      <c r="S12" s="353"/>
      <c r="T12" s="353"/>
      <c r="U12" s="353"/>
      <c r="V12" s="353"/>
      <c r="W12" s="354"/>
      <c r="X12" s="269"/>
      <c r="Z12" s="120" t="s">
        <v>140</v>
      </c>
      <c r="AA12" s="120" t="s">
        <v>147</v>
      </c>
      <c r="AB12" s="120" t="s">
        <v>130</v>
      </c>
      <c r="AC12" s="120" t="s">
        <v>151</v>
      </c>
      <c r="AD12" s="121" t="s">
        <v>202</v>
      </c>
      <c r="AE12" s="120" t="s">
        <v>105</v>
      </c>
      <c r="AF12" s="120" t="s">
        <v>197</v>
      </c>
      <c r="AG12" s="120" t="s">
        <v>135</v>
      </c>
      <c r="AH12" s="120" t="s">
        <v>70</v>
      </c>
    </row>
    <row r="13" spans="1:34" ht="30" customHeight="1">
      <c r="A13" s="350" t="s">
        <v>187</v>
      </c>
      <c r="B13" s="370">
        <f>ROUNDUP((M14*R14*U14)+(M15*R15*U15),-1)</f>
        <v>1470000</v>
      </c>
      <c r="C13" s="359"/>
      <c r="D13" s="359" t="s">
        <v>205</v>
      </c>
      <c r="E13" s="359"/>
      <c r="F13" s="359"/>
      <c r="G13" s="359"/>
      <c r="H13" s="359"/>
      <c r="I13" s="359"/>
      <c r="J13" s="263" t="s">
        <v>32</v>
      </c>
      <c r="K13" s="371">
        <f>SUM(R15,R14)</f>
        <v>6</v>
      </c>
      <c r="L13" s="371"/>
      <c r="M13" s="222" t="s">
        <v>34</v>
      </c>
      <c r="N13" s="222" t="s">
        <v>32</v>
      </c>
      <c r="O13" s="371">
        <v>6</v>
      </c>
      <c r="P13" s="371"/>
      <c r="Q13" s="222" t="s">
        <v>58</v>
      </c>
      <c r="R13" s="222"/>
      <c r="S13" s="222"/>
      <c r="T13" s="222"/>
      <c r="U13" s="222"/>
      <c r="V13" s="222"/>
      <c r="W13" s="222"/>
      <c r="X13" s="365" t="s">
        <v>244</v>
      </c>
      <c r="Z13" s="121" t="s">
        <v>237</v>
      </c>
      <c r="AA13" s="120" t="s">
        <v>142</v>
      </c>
      <c r="AB13" s="120" t="s">
        <v>138</v>
      </c>
      <c r="AC13" s="120" t="s">
        <v>54</v>
      </c>
      <c r="AD13" s="120" t="s">
        <v>54</v>
      </c>
      <c r="AE13" s="122">
        <v>20000</v>
      </c>
      <c r="AF13" s="120" t="s">
        <v>54</v>
      </c>
      <c r="AG13" s="122">
        <v>25000</v>
      </c>
      <c r="AH13" s="120"/>
    </row>
    <row r="14" spans="1:34" ht="30" customHeight="1">
      <c r="A14" s="350"/>
      <c r="B14" s="370"/>
      <c r="C14" s="359"/>
      <c r="D14" s="222"/>
      <c r="E14" s="222" t="s">
        <v>43</v>
      </c>
      <c r="F14" s="368" t="s">
        <v>192</v>
      </c>
      <c r="G14" s="368"/>
      <c r="H14" s="368"/>
      <c r="I14" s="368"/>
      <c r="J14" s="368"/>
      <c r="K14" s="368"/>
      <c r="L14" s="222" t="s">
        <v>37</v>
      </c>
      <c r="M14" s="367">
        <v>45000</v>
      </c>
      <c r="N14" s="367"/>
      <c r="O14" s="367"/>
      <c r="P14" s="367"/>
      <c r="Q14" s="222" t="s">
        <v>32</v>
      </c>
      <c r="R14" s="222">
        <f>SUMIF($A$7:$A$10,"책임연구원",$J$7:$J$10)</f>
        <v>1</v>
      </c>
      <c r="S14" s="222" t="s">
        <v>34</v>
      </c>
      <c r="T14" s="222" t="s">
        <v>32</v>
      </c>
      <c r="U14" s="222">
        <v>6</v>
      </c>
      <c r="V14" s="222" t="s">
        <v>58</v>
      </c>
      <c r="W14" s="222"/>
      <c r="X14" s="365"/>
      <c r="Z14" s="121" t="s">
        <v>236</v>
      </c>
      <c r="AA14" s="120" t="s">
        <v>112</v>
      </c>
      <c r="AB14" s="120" t="s">
        <v>141</v>
      </c>
      <c r="AC14" s="120" t="s">
        <v>54</v>
      </c>
      <c r="AD14" s="120" t="s">
        <v>54</v>
      </c>
      <c r="AE14" s="122">
        <v>20000</v>
      </c>
      <c r="AF14" s="121" t="s">
        <v>3</v>
      </c>
      <c r="AG14" s="122">
        <v>20000</v>
      </c>
      <c r="AH14" s="120"/>
    </row>
    <row r="15" spans="1:34" ht="30" customHeight="1">
      <c r="A15" s="350"/>
      <c r="B15" s="370"/>
      <c r="C15" s="359"/>
      <c r="D15" s="220"/>
      <c r="E15" s="222" t="s">
        <v>43</v>
      </c>
      <c r="F15" s="368" t="s">
        <v>171</v>
      </c>
      <c r="G15" s="368"/>
      <c r="H15" s="368"/>
      <c r="I15" s="368"/>
      <c r="J15" s="368"/>
      <c r="K15" s="368"/>
      <c r="L15" s="222" t="s">
        <v>37</v>
      </c>
      <c r="M15" s="367">
        <v>40000</v>
      </c>
      <c r="N15" s="367"/>
      <c r="O15" s="367"/>
      <c r="P15" s="367"/>
      <c r="Q15" s="222" t="s">
        <v>32</v>
      </c>
      <c r="R15" s="222">
        <f>SUMIF($A$7:$A$10,"연구원",$J$7:$J$10)+SUMIF($A$7:$A$10,"연구보조원",$J$7:$J$10)+SUMIF($A$7:$A$10,"보조원",$J$7:$J$10)</f>
        <v>5</v>
      </c>
      <c r="S15" s="222" t="s">
        <v>34</v>
      </c>
      <c r="T15" s="222" t="s">
        <v>32</v>
      </c>
      <c r="U15" s="222">
        <v>6</v>
      </c>
      <c r="V15" s="222" t="s">
        <v>58</v>
      </c>
      <c r="W15" s="222"/>
      <c r="X15" s="365"/>
      <c r="Z15" s="120" t="s">
        <v>80</v>
      </c>
      <c r="AA15" s="364" t="s">
        <v>11</v>
      </c>
      <c r="AB15" s="364"/>
      <c r="AC15" s="364"/>
      <c r="AD15" s="364"/>
      <c r="AE15" s="364"/>
      <c r="AF15" s="364"/>
      <c r="AG15" s="364"/>
      <c r="AH15" s="364"/>
    </row>
    <row r="16" spans="1:34" ht="30" customHeight="1">
      <c r="A16" s="356" t="s">
        <v>189</v>
      </c>
      <c r="B16" s="357">
        <f>ROUNDUP(P16+P17,-1)</f>
        <v>1370000</v>
      </c>
      <c r="C16" s="222"/>
      <c r="D16" s="368" t="s">
        <v>246</v>
      </c>
      <c r="E16" s="368"/>
      <c r="F16" s="368"/>
      <c r="G16" s="368"/>
      <c r="H16" s="368"/>
      <c r="I16" s="368"/>
      <c r="J16" s="368"/>
      <c r="K16" s="368"/>
      <c r="L16" s="368"/>
      <c r="M16" s="368"/>
      <c r="N16" s="368"/>
      <c r="O16" s="368"/>
      <c r="P16" s="367">
        <v>1370000</v>
      </c>
      <c r="Q16" s="367"/>
      <c r="R16" s="367"/>
      <c r="S16" s="367"/>
      <c r="T16" s="222"/>
      <c r="U16" s="222"/>
      <c r="V16" s="222"/>
      <c r="W16" s="222"/>
      <c r="X16" s="373" t="s">
        <v>216</v>
      </c>
      <c r="Z16" s="107"/>
      <c r="AA16" s="107"/>
      <c r="AB16" s="107"/>
      <c r="AC16" s="107"/>
    </row>
    <row r="17" spans="1:34" ht="30" customHeight="1">
      <c r="A17" s="356"/>
      <c r="B17" s="357"/>
      <c r="C17" s="222"/>
      <c r="D17" s="368"/>
      <c r="E17" s="368"/>
      <c r="F17" s="368"/>
      <c r="G17" s="368"/>
      <c r="H17" s="368"/>
      <c r="I17" s="368"/>
      <c r="J17" s="368"/>
      <c r="K17" s="368"/>
      <c r="L17" s="368"/>
      <c r="M17" s="368"/>
      <c r="N17" s="368"/>
      <c r="O17" s="368"/>
      <c r="P17" s="358"/>
      <c r="Q17" s="358"/>
      <c r="R17" s="358"/>
      <c r="S17" s="358"/>
      <c r="T17" s="222"/>
      <c r="U17" s="222"/>
      <c r="V17" s="222"/>
      <c r="W17" s="222"/>
      <c r="X17" s="373"/>
      <c r="Z17" s="107"/>
      <c r="AA17" s="107"/>
      <c r="AB17" s="107"/>
      <c r="AC17" s="107"/>
    </row>
    <row r="18" spans="1:34" ht="30" customHeight="1">
      <c r="A18" s="233" t="s">
        <v>186</v>
      </c>
      <c r="B18" s="221">
        <f>ROUNDUP((I18*N18),-1)</f>
        <v>1246700</v>
      </c>
      <c r="C18" s="222"/>
      <c r="D18" s="369" t="s">
        <v>203</v>
      </c>
      <c r="E18" s="369"/>
      <c r="F18" s="369"/>
      <c r="G18" s="369"/>
      <c r="H18" s="369"/>
      <c r="I18" s="367">
        <v>1246700</v>
      </c>
      <c r="J18" s="367"/>
      <c r="K18" s="367"/>
      <c r="L18" s="367"/>
      <c r="M18" s="222" t="s">
        <v>32</v>
      </c>
      <c r="N18" s="222">
        <v>1</v>
      </c>
      <c r="O18" s="222" t="s">
        <v>57</v>
      </c>
      <c r="P18" s="368" t="s">
        <v>221</v>
      </c>
      <c r="Q18" s="368"/>
      <c r="R18" s="368"/>
      <c r="S18" s="368"/>
      <c r="T18" s="368"/>
      <c r="U18" s="368"/>
      <c r="V18" s="368"/>
      <c r="W18" s="368"/>
      <c r="X18" s="234" t="s">
        <v>104</v>
      </c>
      <c r="Z18" s="107"/>
      <c r="AA18" s="107"/>
      <c r="AB18" s="107"/>
      <c r="AC18" s="107"/>
    </row>
    <row r="19" spans="1:34" ht="45" customHeight="1">
      <c r="A19" s="227" t="s">
        <v>190</v>
      </c>
      <c r="B19" s="226">
        <f>ROUNDUP(N19*S19,-1)</f>
        <v>200000</v>
      </c>
      <c r="C19" s="220"/>
      <c r="D19" s="368" t="s">
        <v>0</v>
      </c>
      <c r="E19" s="368"/>
      <c r="F19" s="368"/>
      <c r="G19" s="368"/>
      <c r="H19" s="368"/>
      <c r="I19" s="368"/>
      <c r="J19" s="368"/>
      <c r="K19" s="368"/>
      <c r="L19" s="368"/>
      <c r="M19" s="368"/>
      <c r="N19" s="367">
        <v>40000</v>
      </c>
      <c r="O19" s="367"/>
      <c r="P19" s="367"/>
      <c r="Q19" s="367"/>
      <c r="R19" s="222" t="s">
        <v>32</v>
      </c>
      <c r="S19" s="222">
        <v>5</v>
      </c>
      <c r="T19" s="222" t="s">
        <v>58</v>
      </c>
      <c r="U19" s="222"/>
      <c r="V19" s="222"/>
      <c r="W19" s="220"/>
      <c r="X19" s="235" t="s">
        <v>18</v>
      </c>
      <c r="Z19" s="110"/>
      <c r="AA19" s="109"/>
      <c r="AB19" s="109"/>
      <c r="AC19" s="109"/>
      <c r="AD19" s="109"/>
      <c r="AE19" s="111"/>
      <c r="AF19" s="110"/>
      <c r="AG19" s="111"/>
      <c r="AH19" s="109"/>
    </row>
    <row r="20" spans="1:34" ht="45" customHeight="1" thickBot="1">
      <c r="A20" s="236" t="s">
        <v>127</v>
      </c>
      <c r="B20" s="237">
        <f>SUM(B13:B19)</f>
        <v>4286700</v>
      </c>
      <c r="C20" s="238"/>
      <c r="D20" s="366"/>
      <c r="E20" s="366"/>
      <c r="F20" s="366"/>
      <c r="G20" s="366"/>
      <c r="H20" s="366"/>
      <c r="I20" s="366"/>
      <c r="J20" s="366"/>
      <c r="K20" s="366"/>
      <c r="L20" s="366"/>
      <c r="M20" s="366"/>
      <c r="N20" s="366"/>
      <c r="O20" s="366"/>
      <c r="P20" s="366"/>
      <c r="Q20" s="366"/>
      <c r="R20" s="366"/>
      <c r="S20" s="366"/>
      <c r="T20" s="366"/>
      <c r="U20" s="366"/>
      <c r="V20" s="366"/>
      <c r="W20" s="366"/>
      <c r="X20" s="239"/>
    </row>
    <row r="21" spans="1:34" ht="45" customHeight="1">
      <c r="A21" s="273" t="s">
        <v>194</v>
      </c>
      <c r="B21" s="274">
        <f>ROUNDUP(($B$11+$B$20)*6%,-1)</f>
        <v>4828260</v>
      </c>
      <c r="C21" s="275"/>
      <c r="D21" s="374" t="s">
        <v>238</v>
      </c>
      <c r="E21" s="374"/>
      <c r="F21" s="374"/>
      <c r="G21" s="374"/>
      <c r="H21" s="374"/>
      <c r="I21" s="374"/>
      <c r="J21" s="374"/>
      <c r="K21" s="374"/>
      <c r="L21" s="374"/>
      <c r="M21" s="374"/>
      <c r="N21" s="374"/>
      <c r="O21" s="374"/>
      <c r="P21" s="374"/>
      <c r="Q21" s="374"/>
      <c r="R21" s="374"/>
      <c r="S21" s="374"/>
      <c r="T21" s="374"/>
      <c r="U21" s="374"/>
      <c r="V21" s="374"/>
      <c r="W21" s="374"/>
      <c r="X21" s="372" t="s">
        <v>19</v>
      </c>
    </row>
    <row r="22" spans="1:34" ht="45" customHeight="1">
      <c r="A22" s="233" t="s">
        <v>152</v>
      </c>
      <c r="B22" s="221">
        <f>($B$11+$B$20+$B$21)*Z22</f>
        <v>7634274.8199999994</v>
      </c>
      <c r="C22" s="222"/>
      <c r="D22" s="368" t="s">
        <v>1</v>
      </c>
      <c r="E22" s="368"/>
      <c r="F22" s="368"/>
      <c r="G22" s="368"/>
      <c r="H22" s="368"/>
      <c r="I22" s="368"/>
      <c r="J22" s="368"/>
      <c r="K22" s="368"/>
      <c r="L22" s="368"/>
      <c r="M22" s="368"/>
      <c r="N22" s="368"/>
      <c r="O22" s="368"/>
      <c r="P22" s="368"/>
      <c r="Q22" s="368"/>
      <c r="R22" s="368"/>
      <c r="S22" s="368"/>
      <c r="T22" s="368"/>
      <c r="U22" s="368"/>
      <c r="V22" s="368"/>
      <c r="W22" s="368"/>
      <c r="X22" s="365"/>
      <c r="Z22" s="112">
        <v>8.9499999999999996E-2</v>
      </c>
    </row>
    <row r="23" spans="1:34" ht="45" customHeight="1" thickBot="1">
      <c r="A23" s="276" t="s">
        <v>175</v>
      </c>
      <c r="B23" s="277">
        <f>ROUNDUP(($B$11+$B$20+$B$21+$B$22)*10%,-1)</f>
        <v>9293350</v>
      </c>
      <c r="C23" s="278"/>
      <c r="D23" s="361" t="s">
        <v>245</v>
      </c>
      <c r="E23" s="361"/>
      <c r="F23" s="361"/>
      <c r="G23" s="361"/>
      <c r="H23" s="361"/>
      <c r="I23" s="361"/>
      <c r="J23" s="361"/>
      <c r="K23" s="361"/>
      <c r="L23" s="361"/>
      <c r="M23" s="361"/>
      <c r="N23" s="361"/>
      <c r="O23" s="361"/>
      <c r="P23" s="361"/>
      <c r="Q23" s="361"/>
      <c r="R23" s="361"/>
      <c r="S23" s="361"/>
      <c r="T23" s="361"/>
      <c r="U23" s="361"/>
      <c r="V23" s="361"/>
      <c r="W23" s="361"/>
      <c r="X23" s="279"/>
    </row>
    <row r="24" spans="1:34" ht="45" customHeight="1" thickBot="1">
      <c r="A24" s="270" t="s">
        <v>153</v>
      </c>
      <c r="B24" s="271">
        <f>TRUNC(SUM($B11,$B20,$B21,$B22,$B23),-1)</f>
        <v>102226780</v>
      </c>
      <c r="C24" s="272"/>
      <c r="D24" s="347" t="s">
        <v>267</v>
      </c>
      <c r="E24" s="348"/>
      <c r="F24" s="348"/>
      <c r="G24" s="348"/>
      <c r="H24" s="348"/>
      <c r="I24" s="348"/>
      <c r="J24" s="348"/>
      <c r="K24" s="348"/>
      <c r="L24" s="348"/>
      <c r="M24" s="348"/>
      <c r="N24" s="348"/>
      <c r="O24" s="348"/>
      <c r="P24" s="348"/>
      <c r="Q24" s="348"/>
      <c r="R24" s="348"/>
      <c r="S24" s="348"/>
      <c r="T24" s="348"/>
      <c r="U24" s="348"/>
      <c r="V24" s="348"/>
      <c r="W24" s="348"/>
      <c r="X24" s="349"/>
      <c r="Z24" s="113"/>
      <c r="AA24" s="114"/>
      <c r="AB24" s="114">
        <f>Z24+AA24</f>
        <v>0</v>
      </c>
    </row>
    <row r="25" spans="1:34">
      <c r="A25" s="218"/>
      <c r="Z25" s="113"/>
    </row>
    <row r="26" spans="1:34">
      <c r="A26" s="218"/>
    </row>
    <row r="27" spans="1:34">
      <c r="A27" s="218"/>
    </row>
    <row r="28" spans="1:34">
      <c r="A28" s="218"/>
    </row>
    <row r="29" spans="1:34">
      <c r="A29" s="218"/>
    </row>
    <row r="30" spans="1:34">
      <c r="A30" s="218"/>
    </row>
    <row r="31" spans="1:34">
      <c r="A31" s="218"/>
    </row>
    <row r="32" spans="1:34">
      <c r="A32" s="218"/>
    </row>
    <row r="33" spans="1:1">
      <c r="A33" s="218"/>
    </row>
    <row r="34" spans="1:1">
      <c r="A34" s="218"/>
    </row>
    <row r="35" spans="1:1">
      <c r="A35" s="218"/>
    </row>
    <row r="36" spans="1:1">
      <c r="A36" s="218"/>
    </row>
    <row r="37" spans="1:1">
      <c r="A37" s="218"/>
    </row>
    <row r="38" spans="1:1">
      <c r="A38" s="218"/>
    </row>
    <row r="39" spans="1:1">
      <c r="A39" s="218"/>
    </row>
    <row r="40" spans="1:1">
      <c r="A40" s="218"/>
    </row>
    <row r="41" spans="1:1">
      <c r="A41" s="218"/>
    </row>
    <row r="42" spans="1:1">
      <c r="A42" s="218"/>
    </row>
    <row r="43" spans="1:1">
      <c r="A43" s="218"/>
    </row>
    <row r="44" spans="1:1">
      <c r="A44" s="218"/>
    </row>
    <row r="45" spans="1:1">
      <c r="A45" s="218"/>
    </row>
    <row r="46" spans="1:1">
      <c r="A46" s="218"/>
    </row>
    <row r="47" spans="1:1">
      <c r="A47" s="218"/>
    </row>
  </sheetData>
  <mergeCells count="53">
    <mergeCell ref="X21:X22"/>
    <mergeCell ref="D8:H8"/>
    <mergeCell ref="D9:H9"/>
    <mergeCell ref="X16:X17"/>
    <mergeCell ref="D16:O16"/>
    <mergeCell ref="D17:O17"/>
    <mergeCell ref="P16:S16"/>
    <mergeCell ref="P17:S17"/>
    <mergeCell ref="D21:W21"/>
    <mergeCell ref="D22:W22"/>
    <mergeCell ref="D10:H10"/>
    <mergeCell ref="T8:U8"/>
    <mergeCell ref="B13:B15"/>
    <mergeCell ref="C13:C15"/>
    <mergeCell ref="F14:K14"/>
    <mergeCell ref="F15:K15"/>
    <mergeCell ref="M14:P14"/>
    <mergeCell ref="M15:P15"/>
    <mergeCell ref="D13:I13"/>
    <mergeCell ref="K13:L13"/>
    <mergeCell ref="O13:P13"/>
    <mergeCell ref="Q9:S9"/>
    <mergeCell ref="Q10:S10"/>
    <mergeCell ref="D23:W23"/>
    <mergeCell ref="AB6:AC6"/>
    <mergeCell ref="AB7:AC10"/>
    <mergeCell ref="AA15:AH15"/>
    <mergeCell ref="X13:X15"/>
    <mergeCell ref="T9:U9"/>
    <mergeCell ref="T10:U10"/>
    <mergeCell ref="D20:W20"/>
    <mergeCell ref="N19:Q19"/>
    <mergeCell ref="D19:M19"/>
    <mergeCell ref="I18:L18"/>
    <mergeCell ref="D18:H18"/>
    <mergeCell ref="P18:W18"/>
    <mergeCell ref="D11:W11"/>
    <mergeCell ref="D24:X24"/>
    <mergeCell ref="A13:A15"/>
    <mergeCell ref="A2:X3"/>
    <mergeCell ref="A6:W6"/>
    <mergeCell ref="A12:W12"/>
    <mergeCell ref="D5:W5"/>
    <mergeCell ref="A16:A17"/>
    <mergeCell ref="B16:B17"/>
    <mergeCell ref="D7:H7"/>
    <mergeCell ref="N7:O7"/>
    <mergeCell ref="Q7:S7"/>
    <mergeCell ref="T7:U7"/>
    <mergeCell ref="N8:O8"/>
    <mergeCell ref="N9:O9"/>
    <mergeCell ref="N10:O10"/>
    <mergeCell ref="Q8:S8"/>
  </mergeCells>
  <phoneticPr fontId="33" type="noConversion"/>
  <dataValidations count="1">
    <dataValidation type="list" operator="equal" allowBlank="1" showInputMessage="1" showErrorMessage="1" sqref="A7:A10" xr:uid="{00000000-0002-0000-0A00-000000000000}">
      <formula1>_xlnm.Print_Area</formula1>
    </dataValidation>
  </dataValidations>
  <pageMargins left="0.60347223281860352" right="0.61750000715255737" top="0.98430556058883667" bottom="0.59375" header="0.41027778387069702" footer="0.20805555582046509"/>
  <pageSetup paperSize="9" scale="66" fitToWidth="0" fitToHeight="0" orientation="portrait" draft="1" r:id="rId1"/>
  <colBreaks count="1" manualBreakCount="1">
    <brk id="24" max="16383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"/>
  <dimension ref="A1:A3"/>
  <sheetViews>
    <sheetView zoomScaleNormal="100" zoomScaleSheetLayoutView="75" workbookViewId="0">
      <selection activeCell="B9" sqref="B9:O9"/>
    </sheetView>
  </sheetViews>
  <sheetFormatPr defaultColWidth="8.875" defaultRowHeight="16.5"/>
  <cols>
    <col min="1" max="1" width="60.125" style="3" customWidth="1"/>
  </cols>
  <sheetData>
    <row r="1" spans="1:1" ht="70.5" customHeight="1" thickBot="1">
      <c r="A1" s="125" t="s">
        <v>257</v>
      </c>
    </row>
    <row r="2" spans="1:1" ht="147" customHeight="1" thickBot="1">
      <c r="A2" s="125" t="s">
        <v>256</v>
      </c>
    </row>
    <row r="3" spans="1:1" ht="78.75" customHeight="1" thickBot="1">
      <c r="A3" s="124" t="s">
        <v>10</v>
      </c>
    </row>
  </sheetData>
  <phoneticPr fontId="33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 draft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96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12</vt:i4>
      </vt:variant>
      <vt:variant>
        <vt:lpstr>이름 지정된 범위</vt:lpstr>
      </vt:variant>
      <vt:variant>
        <vt:i4>3</vt:i4>
      </vt:variant>
    </vt:vector>
  </HeadingPairs>
  <TitlesOfParts>
    <vt:vector size="15" baseType="lpstr">
      <vt:lpstr>설계예산서</vt:lpstr>
      <vt:lpstr>총괄</vt:lpstr>
      <vt:lpstr>측량비</vt:lpstr>
      <vt:lpstr>공종별집계표 (3)</vt:lpstr>
      <vt:lpstr>공종별집계표 (4)</vt:lpstr>
      <vt:lpstr>공종별집계표 (5)</vt:lpstr>
      <vt:lpstr>공종별집계표 (6)</vt:lpstr>
      <vt:lpstr>공종별집계표 (7)</vt:lpstr>
      <vt:lpstr>공종별집계표 (8)</vt:lpstr>
      <vt:lpstr>손해배상보험</vt:lpstr>
      <vt:lpstr>선행연구</vt:lpstr>
      <vt:lpstr>세부 산출내역</vt:lpstr>
      <vt:lpstr>선행연구!Print_Area</vt:lpstr>
      <vt:lpstr>손해배상보험!Print_Area</vt:lpstr>
      <vt:lpstr>등급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70</cp:revision>
  <cp:lastPrinted>2022-05-26T12:53:44Z</cp:lastPrinted>
  <dcterms:created xsi:type="dcterms:W3CDTF">2006-09-13T11:19:49Z</dcterms:created>
  <dcterms:modified xsi:type="dcterms:W3CDTF">2022-05-26T12:55:00Z</dcterms:modified>
  <cp:version>1000.0100.01</cp:version>
</cp:coreProperties>
</file>